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codeName="ThisWorkbook" defaultThemeVersion="166925"/>
  <mc:AlternateContent xmlns:mc="http://schemas.openxmlformats.org/markup-compatibility/2006">
    <mc:Choice Requires="x15">
      <x15ac:absPath xmlns:x15ac="http://schemas.microsoft.com/office/spreadsheetml/2010/11/ac" url="https://sparkassenstiftungev.sharepoint.com/pct/lnam-cbn/ea/financial-inclusion/Public/Project_Management/AOB/Business Planning - Lean Canvas/Workshop Material/Final Tool/Final Tool without macros/"/>
    </mc:Choice>
  </mc:AlternateContent>
  <xr:revisionPtr revIDLastSave="0" documentId="8_{FD8C06FD-E27B-45E8-84CE-E854B74707BC}" xr6:coauthVersionLast="47" xr6:coauthVersionMax="47" xr10:uidLastSave="{00000000-0000-0000-0000-000000000000}"/>
  <workbookProtection workbookAlgorithmName="SHA-512" workbookHashValue="uNVWTSdI7IpDhKoiDVneqRdz7Gvk2RqKvbldQqO/0puISMHwapbPqmCMeGQE4F9ofiZdRSf85FsVbvuD9SRO2Q==" workbookSaltValue="cTo3mVXUf13tdeRV/5UOoQ==" workbookSpinCount="100000" lockStructure="1"/>
  <bookViews>
    <workbookView xWindow="-120" yWindow="-120" windowWidth="29040" windowHeight="15720" xr2:uid="{9EB41C88-BE15-4720-AD1E-11ACD23E6879}"/>
  </bookViews>
  <sheets>
    <sheet name="Lean Canvas" sheetId="1" r:id="rId1"/>
    <sheet name="Problem" sheetId="2" r:id="rId2"/>
    <sheet name="Customer Segments" sheetId="8" r:id="rId3"/>
    <sheet name="Your_Solution" sheetId="3" r:id="rId4"/>
    <sheet name="USP" sheetId="6" r:id="rId5"/>
    <sheet name="USP_Brainstorm Cards" sheetId="15" r:id="rId6"/>
    <sheet name="Value Proposition Canvas" sheetId="12" r:id="rId7"/>
    <sheet name="Channels" sheetId="7" r:id="rId8"/>
    <sheet name="Cost Structure" sheetId="9" r:id="rId9"/>
    <sheet name="Startup-Costs" sheetId="16" r:id="rId10"/>
    <sheet name="Revenue Streams" sheetId="10" r:id="rId11"/>
    <sheet name="Product Pricing" sheetId="17" r:id="rId12"/>
    <sheet name="Restaurant_Bar" sheetId="22" r:id="rId13"/>
    <sheet name="Layer Production" sheetId="21" r:id="rId14"/>
    <sheet name="Farming Crops" sheetId="19" r:id="rId15"/>
    <sheet name="Livestock" sheetId="20" r:id="rId16"/>
    <sheet name="Boutique" sheetId="18" r:id="rId17"/>
    <sheet name="Materialcost" sheetId="25" state="hidden" r:id="rId18"/>
    <sheet name="Pricing-Calculation" sheetId="23" state="hidden" r:id="rId19"/>
    <sheet name="CashFlow" sheetId="14" r:id="rId20"/>
    <sheet name="Financial Report" sheetId="13" r:id="rId21"/>
    <sheet name="Key_Metrics" sheetId="4" r:id="rId22"/>
    <sheet name="Business Plan" sheetId="11" r:id="rId23"/>
  </sheets>
  <definedNames>
    <definedName name="_xlnm.Print_Area" localSheetId="16">Boutique!$A$16:$T$35</definedName>
    <definedName name="_xlnm.Print_Area" localSheetId="22">'Business Plan'!$A$1:$B$84</definedName>
    <definedName name="_xlnm.Print_Area" localSheetId="19">CashFlow!$A$7:$P$43</definedName>
    <definedName name="_xlnm.Print_Area" localSheetId="8">'Cost Structure'!$A$1:$A$16</definedName>
    <definedName name="_xlnm.Print_Area" localSheetId="20">'Financial Report'!$A$1:$J$97</definedName>
    <definedName name="_xlnm.Print_Area" localSheetId="0">'Lean Canvas'!$A$1:$Y$72</definedName>
    <definedName name="_xlnm.Print_Area" localSheetId="11">'Product Pricing'!$A$16:$AB$63</definedName>
    <definedName name="_xlnm.Print_Area" localSheetId="12">Restaurant_Bar!$A$16:$AB$55</definedName>
    <definedName name="_xlnm.Print_Area" localSheetId="10">'Revenue Streams'!$A$1:$A$32</definedName>
    <definedName name="_xlnm.Print_Area" localSheetId="9">'Startup-Costs'!$A$2:$D$121</definedName>
    <definedName name="_xlnm.Print_Area" localSheetId="4">USP!$A$1:$A$9</definedName>
    <definedName name="_xlnm.Print_Area" localSheetId="6">'Value Proposition Canvas'!$A$1:$U$76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2" i="11" l="1"/>
  <c r="B41" i="11"/>
  <c r="B40" i="11"/>
  <c r="B39" i="11"/>
  <c r="B25" i="11" l="1"/>
  <c r="B70" i="11"/>
  <c r="B66" i="11"/>
  <c r="B65" i="11"/>
  <c r="B64" i="11"/>
  <c r="B54" i="11"/>
  <c r="B53" i="11"/>
  <c r="B52" i="11"/>
  <c r="B48" i="11"/>
  <c r="B47" i="11"/>
  <c r="B46" i="11"/>
  <c r="B24" i="11"/>
  <c r="B23" i="11"/>
  <c r="B22" i="11"/>
  <c r="B16" i="11"/>
  <c r="B15" i="11"/>
  <c r="B14" i="11"/>
  <c r="B13" i="11"/>
  <c r="A17" i="11"/>
  <c r="F16" i="20" l="1"/>
  <c r="C29" i="14"/>
  <c r="D32" i="14"/>
  <c r="E32" i="14"/>
  <c r="F32" i="14"/>
  <c r="G32" i="14"/>
  <c r="H32" i="14"/>
  <c r="I32" i="14"/>
  <c r="J32" i="14"/>
  <c r="K32" i="14"/>
  <c r="L32" i="14"/>
  <c r="M32" i="14"/>
  <c r="N32" i="14"/>
  <c r="C32" i="14"/>
  <c r="K9" i="20"/>
  <c r="L15" i="20"/>
  <c r="L14" i="20"/>
  <c r="L13" i="20"/>
  <c r="E15" i="20"/>
  <c r="E14" i="20"/>
  <c r="E13" i="20"/>
  <c r="B2" i="16"/>
  <c r="A1" i="14"/>
  <c r="C10" i="14" s="1"/>
  <c r="C4" i="25"/>
  <c r="C3" i="25"/>
  <c r="C2" i="25"/>
  <c r="D10" i="14" l="1"/>
  <c r="H10" i="14"/>
  <c r="L10" i="14"/>
  <c r="E10" i="14"/>
  <c r="I10" i="14"/>
  <c r="M10" i="14"/>
  <c r="F10" i="14"/>
  <c r="J10" i="14"/>
  <c r="N10" i="14"/>
  <c r="G10" i="14"/>
  <c r="K10" i="14"/>
  <c r="R33" i="14"/>
  <c r="S33" i="14"/>
  <c r="T33" i="14"/>
  <c r="R34" i="14"/>
  <c r="S34" i="14"/>
  <c r="T34" i="14"/>
  <c r="R35" i="14"/>
  <c r="S35" i="14"/>
  <c r="T35" i="14"/>
  <c r="R36" i="14"/>
  <c r="S36" i="14"/>
  <c r="R8" i="14"/>
  <c r="S8" i="14"/>
  <c r="T8" i="14"/>
  <c r="R9" i="14"/>
  <c r="S9" i="14"/>
  <c r="T9" i="14"/>
  <c r="R10" i="14"/>
  <c r="S10" i="14"/>
  <c r="T10" i="14"/>
  <c r="R11" i="14"/>
  <c r="S11" i="14"/>
  <c r="T11" i="14"/>
  <c r="R12" i="14"/>
  <c r="S12" i="14"/>
  <c r="T12" i="14"/>
  <c r="R13" i="14"/>
  <c r="S13" i="14"/>
  <c r="T13" i="14"/>
  <c r="R14" i="14"/>
  <c r="S14" i="14"/>
  <c r="R16" i="14"/>
  <c r="S16" i="14"/>
  <c r="T16" i="14"/>
  <c r="R17" i="14"/>
  <c r="S17" i="14"/>
  <c r="T17" i="14"/>
  <c r="R18" i="14"/>
  <c r="S18" i="14"/>
  <c r="T18" i="14"/>
  <c r="R19" i="14"/>
  <c r="S19" i="14"/>
  <c r="T19" i="14"/>
  <c r="R20" i="14"/>
  <c r="S20" i="14"/>
  <c r="T20" i="14"/>
  <c r="R21" i="14"/>
  <c r="S21" i="14"/>
  <c r="T21" i="14"/>
  <c r="R22" i="14"/>
  <c r="S22" i="14"/>
  <c r="R24" i="14"/>
  <c r="S24" i="14"/>
  <c r="T24" i="14"/>
  <c r="R26" i="14"/>
  <c r="S26" i="14"/>
  <c r="T26" i="14"/>
  <c r="R27" i="14"/>
  <c r="S27" i="14"/>
  <c r="T27" i="14"/>
  <c r="R28" i="14"/>
  <c r="S28" i="14"/>
  <c r="T28" i="14"/>
  <c r="R29" i="14"/>
  <c r="S29" i="14"/>
  <c r="T29" i="14"/>
  <c r="R30" i="14"/>
  <c r="S30" i="14"/>
  <c r="T30" i="14"/>
  <c r="R31" i="14"/>
  <c r="S31" i="14"/>
  <c r="S7" i="14"/>
  <c r="T7" i="14"/>
  <c r="R7" i="14"/>
  <c r="M27" i="20"/>
  <c r="F27" i="20"/>
  <c r="E2" i="4"/>
  <c r="C2" i="10" l="1"/>
  <c r="C4" i="9"/>
  <c r="C2" i="7"/>
  <c r="B1" i="6"/>
  <c r="F2" i="3"/>
  <c r="C2" i="8"/>
  <c r="C3" i="2"/>
  <c r="F85" i="13" l="1"/>
  <c r="I85" i="13" s="1"/>
  <c r="F83" i="13"/>
  <c r="I83" i="13" s="1"/>
  <c r="F67" i="13"/>
  <c r="I67" i="13" s="1"/>
  <c r="F65" i="13"/>
  <c r="I65" i="13" s="1"/>
  <c r="F63" i="13"/>
  <c r="I63" i="13" s="1"/>
  <c r="F59" i="13"/>
  <c r="I59" i="13" s="1"/>
  <c r="F56" i="13"/>
  <c r="I56" i="13" s="1"/>
  <c r="F50" i="13"/>
  <c r="I50" i="13" s="1"/>
  <c r="D17" i="23"/>
  <c r="B17" i="23"/>
  <c r="D16" i="23"/>
  <c r="B16" i="23"/>
  <c r="D15" i="23"/>
  <c r="B15" i="23"/>
  <c r="B14" i="23"/>
  <c r="B13" i="23"/>
  <c r="B12" i="23"/>
  <c r="D11" i="23"/>
  <c r="B11" i="23"/>
  <c r="D10" i="23"/>
  <c r="B10" i="23"/>
  <c r="D9" i="23"/>
  <c r="B9" i="23"/>
  <c r="E8" i="23"/>
  <c r="E7" i="23"/>
  <c r="B8" i="23"/>
  <c r="B7" i="23"/>
  <c r="E6" i="23"/>
  <c r="B6" i="23"/>
  <c r="E5" i="23"/>
  <c r="B5" i="23"/>
  <c r="E4" i="23"/>
  <c r="B4" i="23"/>
  <c r="E3" i="23"/>
  <c r="B3" i="23"/>
  <c r="H6" i="20" l="1"/>
  <c r="A6" i="20"/>
  <c r="A6" i="21"/>
  <c r="Q15" i="19" l="1"/>
  <c r="K15" i="19"/>
  <c r="E15" i="19"/>
  <c r="U52" i="22" l="1"/>
  <c r="F46" i="22"/>
  <c r="E14" i="23" s="1"/>
  <c r="U39" i="22"/>
  <c r="F33" i="22"/>
  <c r="E13" i="23" s="1"/>
  <c r="F20" i="22"/>
  <c r="E12" i="23" s="1"/>
  <c r="U26" i="22"/>
  <c r="D26" i="21"/>
  <c r="F26" i="21" s="1"/>
  <c r="D25" i="21"/>
  <c r="F25" i="21" s="1"/>
  <c r="F58" i="21"/>
  <c r="F59" i="21" s="1"/>
  <c r="F60" i="21" s="1"/>
  <c r="A10" i="21"/>
  <c r="A63" i="21"/>
  <c r="A54" i="21"/>
  <c r="A53" i="21"/>
  <c r="A50" i="21"/>
  <c r="F46" i="21"/>
  <c r="D44" i="21"/>
  <c r="F44" i="21" s="1"/>
  <c r="E36" i="21"/>
  <c r="F36" i="21" s="1"/>
  <c r="F37" i="21" s="1"/>
  <c r="A31" i="21"/>
  <c r="D15" i="21"/>
  <c r="F27" i="21"/>
  <c r="F15" i="21"/>
  <c r="E15" i="21"/>
  <c r="F17" i="21"/>
  <c r="F16" i="21"/>
  <c r="E14" i="21"/>
  <c r="A7" i="21"/>
  <c r="A15" i="21" s="1"/>
  <c r="K35" i="20"/>
  <c r="K34" i="20"/>
  <c r="H31" i="20"/>
  <c r="M26" i="20"/>
  <c r="M25" i="20"/>
  <c r="M20" i="20"/>
  <c r="L20" i="20"/>
  <c r="M19" i="20"/>
  <c r="M16" i="20"/>
  <c r="M15" i="20"/>
  <c r="M14" i="20"/>
  <c r="L12" i="20"/>
  <c r="K36" i="20"/>
  <c r="H7" i="20"/>
  <c r="H20" i="20" s="1"/>
  <c r="D35" i="20"/>
  <c r="D34" i="20"/>
  <c r="A31" i="20"/>
  <c r="F26" i="20"/>
  <c r="F25" i="20"/>
  <c r="F20" i="20"/>
  <c r="E20" i="20"/>
  <c r="F19" i="20"/>
  <c r="F15" i="20"/>
  <c r="F14" i="20"/>
  <c r="F13" i="20"/>
  <c r="E12" i="20"/>
  <c r="D9" i="20"/>
  <c r="D36" i="20" s="1"/>
  <c r="E16" i="23" s="1"/>
  <c r="F16" i="23" s="1"/>
  <c r="A7" i="20"/>
  <c r="A20" i="20" s="1"/>
  <c r="J44" i="20" l="1"/>
  <c r="E17" i="23"/>
  <c r="F17" i="23" s="1"/>
  <c r="D45" i="21"/>
  <c r="F45" i="21" s="1"/>
  <c r="C44" i="20"/>
  <c r="C65" i="21"/>
  <c r="D2" i="25"/>
  <c r="E15" i="23"/>
  <c r="F15" i="23" s="1"/>
  <c r="F27" i="22"/>
  <c r="F25" i="22"/>
  <c r="F29" i="22"/>
  <c r="F53" i="22"/>
  <c r="F51" i="22"/>
  <c r="F55" i="22"/>
  <c r="F38" i="22"/>
  <c r="F42" i="22"/>
  <c r="F40" i="22"/>
  <c r="E17" i="20"/>
  <c r="E18" i="20" s="1"/>
  <c r="F18" i="20" s="1"/>
  <c r="G49" i="22"/>
  <c r="G36" i="22"/>
  <c r="G23" i="22"/>
  <c r="F18" i="21"/>
  <c r="F21" i="21" s="1"/>
  <c r="F47" i="21"/>
  <c r="F40" i="21"/>
  <c r="F28" i="21"/>
  <c r="L17" i="20"/>
  <c r="L18" i="20" s="1"/>
  <c r="M18" i="20" s="1"/>
  <c r="M28" i="20"/>
  <c r="F28" i="20"/>
  <c r="M13" i="20"/>
  <c r="M12" i="19"/>
  <c r="G12" i="19"/>
  <c r="A12" i="19"/>
  <c r="Q49" i="19"/>
  <c r="K49" i="19"/>
  <c r="E49" i="19"/>
  <c r="Q47" i="19"/>
  <c r="K47" i="19"/>
  <c r="E47" i="19"/>
  <c r="Q45" i="19"/>
  <c r="K45" i="19"/>
  <c r="E45" i="19"/>
  <c r="Q39" i="19"/>
  <c r="K39" i="19"/>
  <c r="E39" i="19"/>
  <c r="Q38" i="19"/>
  <c r="K38" i="19"/>
  <c r="E38" i="19"/>
  <c r="Q37" i="19"/>
  <c r="K37" i="19"/>
  <c r="E37" i="19"/>
  <c r="Q36" i="19"/>
  <c r="K36" i="19"/>
  <c r="E36" i="19"/>
  <c r="Q35" i="19"/>
  <c r="K35" i="19"/>
  <c r="E35" i="19"/>
  <c r="Q34" i="19"/>
  <c r="K34" i="19"/>
  <c r="E34" i="19"/>
  <c r="Q33" i="19"/>
  <c r="K33" i="19"/>
  <c r="E33" i="19"/>
  <c r="Q32" i="19"/>
  <c r="K32" i="19"/>
  <c r="E32" i="19"/>
  <c r="Q31" i="19"/>
  <c r="K31" i="19"/>
  <c r="E31" i="19"/>
  <c r="O30" i="19"/>
  <c r="Q30" i="19" s="1"/>
  <c r="I30" i="19"/>
  <c r="K30" i="19" s="1"/>
  <c r="C30" i="19"/>
  <c r="E30" i="19" s="1"/>
  <c r="Q26" i="19"/>
  <c r="P26" i="19"/>
  <c r="J26" i="19"/>
  <c r="K26" i="19" s="1"/>
  <c r="D26" i="19"/>
  <c r="E26" i="19" s="1"/>
  <c r="P25" i="19"/>
  <c r="Q25" i="19" s="1"/>
  <c r="J25" i="19"/>
  <c r="K25" i="19" s="1"/>
  <c r="D25" i="19"/>
  <c r="E25" i="19" s="1"/>
  <c r="P24" i="19"/>
  <c r="Q24" i="19" s="1"/>
  <c r="J24" i="19"/>
  <c r="K24" i="19" s="1"/>
  <c r="D24" i="19"/>
  <c r="E24" i="19" s="1"/>
  <c r="P23" i="19"/>
  <c r="Q23" i="19" s="1"/>
  <c r="J23" i="19"/>
  <c r="K23" i="19" s="1"/>
  <c r="D23" i="19"/>
  <c r="E23" i="19" s="1"/>
  <c r="P22" i="19"/>
  <c r="Q22" i="19" s="1"/>
  <c r="J22" i="19"/>
  <c r="K22" i="19" s="1"/>
  <c r="D22" i="19"/>
  <c r="E22" i="19" s="1"/>
  <c r="P21" i="19"/>
  <c r="Q21" i="19" s="1"/>
  <c r="J21" i="19"/>
  <c r="K21" i="19" s="1"/>
  <c r="D21" i="19"/>
  <c r="E21" i="19" s="1"/>
  <c r="P20" i="19"/>
  <c r="Q20" i="19" s="1"/>
  <c r="J20" i="19"/>
  <c r="K20" i="19" s="1"/>
  <c r="D20" i="19"/>
  <c r="E20" i="19" s="1"/>
  <c r="Q16" i="19"/>
  <c r="K16" i="19"/>
  <c r="E16" i="19"/>
  <c r="P9" i="19"/>
  <c r="P10" i="19" s="1"/>
  <c r="J9" i="19"/>
  <c r="J10" i="19" s="1"/>
  <c r="D9" i="19"/>
  <c r="D10" i="19" s="1"/>
  <c r="G51" i="20" l="1"/>
  <c r="O48" i="19"/>
  <c r="Q48" i="19" s="1"/>
  <c r="E4" i="25"/>
  <c r="E11" i="23"/>
  <c r="E21" i="23" s="1"/>
  <c r="E4" i="14" s="1"/>
  <c r="E2" i="25"/>
  <c r="E9" i="23"/>
  <c r="E19" i="23" s="1"/>
  <c r="E2" i="14" s="1"/>
  <c r="E3" i="25"/>
  <c r="E10" i="23"/>
  <c r="E20" i="23" s="1"/>
  <c r="E3" i="14" s="1"/>
  <c r="J53" i="22"/>
  <c r="F17" i="20"/>
  <c r="F21" i="20" s="1"/>
  <c r="M17" i="20"/>
  <c r="M21" i="20" s="1"/>
  <c r="K40" i="19"/>
  <c r="K44" i="19" s="1"/>
  <c r="Q40" i="19"/>
  <c r="Q44" i="19" s="1"/>
  <c r="E40" i="19"/>
  <c r="E44" i="19" s="1"/>
  <c r="Q27" i="19"/>
  <c r="E27" i="19"/>
  <c r="J40" i="22"/>
  <c r="J27" i="22"/>
  <c r="F49" i="21"/>
  <c r="F50" i="21" s="1"/>
  <c r="F30" i="21"/>
  <c r="F31" i="21" s="1"/>
  <c r="H59" i="19"/>
  <c r="F10" i="23" s="1"/>
  <c r="I48" i="19"/>
  <c r="K48" i="19" s="1"/>
  <c r="K27" i="19"/>
  <c r="C48" i="19"/>
  <c r="E48" i="19" s="1"/>
  <c r="B59" i="19"/>
  <c r="F9" i="23" s="1"/>
  <c r="N59" i="19"/>
  <c r="F11" i="23" s="1"/>
  <c r="M30" i="20" l="1"/>
  <c r="M31" i="20" s="1"/>
  <c r="M35" i="20" s="1"/>
  <c r="G3" i="25"/>
  <c r="F30" i="20"/>
  <c r="F31" i="20" s="1"/>
  <c r="F35" i="20" s="1"/>
  <c r="G2" i="25"/>
  <c r="U53" i="22"/>
  <c r="C14" i="23"/>
  <c r="O40" i="22"/>
  <c r="R40" i="22" s="1"/>
  <c r="C13" i="23"/>
  <c r="U27" i="22"/>
  <c r="C12" i="23"/>
  <c r="O53" i="22"/>
  <c r="R53" i="22" s="1"/>
  <c r="X53" i="22" s="1"/>
  <c r="E43" i="19"/>
  <c r="Q46" i="19"/>
  <c r="Q43" i="19"/>
  <c r="E46" i="19"/>
  <c r="O27" i="22"/>
  <c r="R27" i="22" s="1"/>
  <c r="X27" i="22" s="1"/>
  <c r="U40" i="22"/>
  <c r="X40" i="22" s="1"/>
  <c r="F52" i="21"/>
  <c r="F53" i="21" s="1"/>
  <c r="H65" i="19"/>
  <c r="K46" i="19"/>
  <c r="K43" i="19"/>
  <c r="J45" i="20" l="1"/>
  <c r="C45" i="20"/>
  <c r="F36" i="20"/>
  <c r="C39" i="20" s="1"/>
  <c r="C43" i="20" s="1"/>
  <c r="X42" i="22"/>
  <c r="D13" i="23"/>
  <c r="F13" i="23" s="1"/>
  <c r="X55" i="22"/>
  <c r="AA55" i="22" s="1"/>
  <c r="D14" i="23"/>
  <c r="F14" i="23" s="1"/>
  <c r="X29" i="22"/>
  <c r="D12" i="23"/>
  <c r="F12" i="23" s="1"/>
  <c r="Q50" i="19"/>
  <c r="Q52" i="19" s="1"/>
  <c r="E50" i="19"/>
  <c r="E52" i="19" s="1"/>
  <c r="K50" i="19"/>
  <c r="K52" i="19" s="1"/>
  <c r="F54" i="21"/>
  <c r="C15" i="23" s="1"/>
  <c r="C66" i="21"/>
  <c r="C64" i="21" s="1"/>
  <c r="C63" i="21" s="1"/>
  <c r="M36" i="20"/>
  <c r="J39" i="20" s="1"/>
  <c r="G52" i="20" l="1"/>
  <c r="C16" i="23"/>
  <c r="J43" i="20"/>
  <c r="C17" i="23"/>
  <c r="N54" i="19"/>
  <c r="H54" i="19"/>
  <c r="B54" i="19"/>
  <c r="N60" i="19"/>
  <c r="B60" i="19"/>
  <c r="H60" i="19"/>
  <c r="H58" i="19" l="1"/>
  <c r="C10" i="23"/>
  <c r="N58" i="19"/>
  <c r="C11" i="23"/>
  <c r="B58" i="19"/>
  <c r="C9" i="23"/>
  <c r="H66" i="19"/>
  <c r="F25" i="18"/>
  <c r="G25" i="18" s="1"/>
  <c r="G22" i="18"/>
  <c r="G23" i="18"/>
  <c r="G24" i="18"/>
  <c r="G33" i="18"/>
  <c r="G31" i="18"/>
  <c r="G29" i="18"/>
  <c r="G21" i="18"/>
  <c r="F26" i="18" l="1"/>
  <c r="G26" i="18" s="1"/>
  <c r="F27" i="18" l="1"/>
  <c r="G27" i="18" s="1"/>
  <c r="F2" i="25" s="1"/>
  <c r="J29" i="18" l="1"/>
  <c r="O30" i="18" s="1"/>
  <c r="J6" i="13"/>
  <c r="H6" i="13"/>
  <c r="Q30" i="18" l="1"/>
  <c r="T30" i="18" s="1"/>
  <c r="C8" i="23"/>
  <c r="O28" i="18"/>
  <c r="O29" i="18"/>
  <c r="Q29" i="18" l="1"/>
  <c r="T29" i="18" s="1"/>
  <c r="C7" i="23"/>
  <c r="Q28" i="18"/>
  <c r="T28" i="18" s="1"/>
  <c r="C6" i="23"/>
  <c r="F8" i="23"/>
  <c r="D8" i="23"/>
  <c r="G91" i="16"/>
  <c r="G92" i="16"/>
  <c r="F91" i="16"/>
  <c r="F93" i="16" s="1"/>
  <c r="F92" i="16"/>
  <c r="G84" i="16"/>
  <c r="G85" i="16"/>
  <c r="G86" i="16"/>
  <c r="G87" i="16"/>
  <c r="F84" i="16"/>
  <c r="F85" i="16"/>
  <c r="F86" i="16"/>
  <c r="F87" i="16"/>
  <c r="G93" i="16" l="1"/>
  <c r="D6" i="23"/>
  <c r="F6" i="23"/>
  <c r="T31" i="18"/>
  <c r="T32" i="18" s="1"/>
  <c r="F7" i="23"/>
  <c r="D7" i="23"/>
  <c r="F32" i="13"/>
  <c r="I32" i="13"/>
  <c r="F88" i="16"/>
  <c r="G88" i="16"/>
  <c r="D29" i="14"/>
  <c r="E29" i="14" s="1"/>
  <c r="F29" i="14" s="1"/>
  <c r="G29" i="14" s="1"/>
  <c r="H29" i="14" s="1"/>
  <c r="I29" i="14" s="1"/>
  <c r="J29" i="14" s="1"/>
  <c r="K29" i="14" s="1"/>
  <c r="L29" i="14" s="1"/>
  <c r="M29" i="14" s="1"/>
  <c r="N29" i="14" s="1"/>
  <c r="G23" i="16"/>
  <c r="G25" i="16"/>
  <c r="F25" i="16"/>
  <c r="E21" i="16"/>
  <c r="F21" i="16" s="1"/>
  <c r="G21" i="16" s="1"/>
  <c r="E22" i="16"/>
  <c r="E23" i="16"/>
  <c r="E24" i="16"/>
  <c r="E25" i="16"/>
  <c r="G10" i="16"/>
  <c r="E7" i="16"/>
  <c r="F7" i="16" s="1"/>
  <c r="G7" i="16" s="1"/>
  <c r="E8" i="16"/>
  <c r="F8" i="16" s="1"/>
  <c r="G8" i="16" s="1"/>
  <c r="E9" i="16"/>
  <c r="F9" i="16" s="1"/>
  <c r="G9" i="16" s="1"/>
  <c r="E10" i="16"/>
  <c r="D77" i="13" l="1"/>
  <c r="F22" i="16"/>
  <c r="G22" i="16" s="1"/>
  <c r="I75" i="13" s="1"/>
  <c r="D75" i="13"/>
  <c r="E11" i="16"/>
  <c r="D73" i="13" s="1"/>
  <c r="G11" i="16"/>
  <c r="I73" i="13" s="1"/>
  <c r="E26" i="16"/>
  <c r="F24" i="16"/>
  <c r="F23" i="16"/>
  <c r="F10" i="16"/>
  <c r="F11" i="16" s="1"/>
  <c r="F73" i="13" s="1"/>
  <c r="G63" i="17"/>
  <c r="G61" i="17"/>
  <c r="G59" i="17"/>
  <c r="G57" i="17"/>
  <c r="G55" i="17"/>
  <c r="B4" i="25" s="1"/>
  <c r="H4" i="25" s="1"/>
  <c r="I4" i="14" s="1"/>
  <c r="G47" i="17"/>
  <c r="G45" i="17"/>
  <c r="G43" i="17"/>
  <c r="G41" i="17"/>
  <c r="G39" i="17"/>
  <c r="B3" i="25" s="1"/>
  <c r="H3" i="25" s="1"/>
  <c r="I3" i="14" s="1"/>
  <c r="G31" i="17"/>
  <c r="G29" i="17"/>
  <c r="G27" i="17"/>
  <c r="G25" i="17"/>
  <c r="G23" i="17"/>
  <c r="B2" i="25" s="1"/>
  <c r="H2" i="25" s="1"/>
  <c r="I2" i="14" s="1"/>
  <c r="U58" i="17"/>
  <c r="U42" i="17"/>
  <c r="U26" i="17"/>
  <c r="C70" i="16"/>
  <c r="F26" i="16" l="1"/>
  <c r="F36" i="13" s="1"/>
  <c r="G24" i="16"/>
  <c r="F77" i="13"/>
  <c r="F75" i="13"/>
  <c r="J59" i="17"/>
  <c r="J43" i="17"/>
  <c r="C4" i="23" s="1"/>
  <c r="J27" i="17"/>
  <c r="C3" i="23" s="1"/>
  <c r="C111" i="16"/>
  <c r="C93" i="16"/>
  <c r="C100" i="16" s="1"/>
  <c r="C88" i="16"/>
  <c r="C81" i="16"/>
  <c r="C56" i="16"/>
  <c r="C51" i="16"/>
  <c r="C43" i="16"/>
  <c r="C35" i="16"/>
  <c r="C26" i="16"/>
  <c r="C18" i="16"/>
  <c r="C64" i="16" s="1"/>
  <c r="C11" i="16"/>
  <c r="D61" i="13" l="1"/>
  <c r="D81" i="13" s="1"/>
  <c r="C66" i="16"/>
  <c r="T14" i="14"/>
  <c r="C18" i="14"/>
  <c r="T22" i="14"/>
  <c r="C68" i="16"/>
  <c r="T31" i="14"/>
  <c r="B20" i="23"/>
  <c r="B3" i="14" s="1"/>
  <c r="A20" i="23"/>
  <c r="C20" i="23"/>
  <c r="C3" i="14" s="1"/>
  <c r="C69" i="16"/>
  <c r="T36" i="14"/>
  <c r="U59" i="17"/>
  <c r="C5" i="23"/>
  <c r="A19" i="23"/>
  <c r="B19" i="23"/>
  <c r="B2" i="14" s="1"/>
  <c r="C19" i="23"/>
  <c r="C2" i="14" s="1"/>
  <c r="C63" i="16"/>
  <c r="D36" i="13"/>
  <c r="I61" i="13"/>
  <c r="F61" i="13"/>
  <c r="C67" i="16"/>
  <c r="C98" i="16"/>
  <c r="D89" i="13" s="1"/>
  <c r="G26" i="16"/>
  <c r="I36" i="13" s="1"/>
  <c r="I77" i="13"/>
  <c r="C99" i="16"/>
  <c r="C65" i="16"/>
  <c r="O59" i="17"/>
  <c r="R59" i="17" s="1"/>
  <c r="X59" i="17" s="1"/>
  <c r="U43" i="17"/>
  <c r="O27" i="17"/>
  <c r="R27" i="17" s="1"/>
  <c r="O43" i="17"/>
  <c r="R43" i="17" s="1"/>
  <c r="U27" i="17"/>
  <c r="C71" i="16" l="1"/>
  <c r="C25" i="14" a="1"/>
  <c r="C25" i="14" s="1"/>
  <c r="X63" i="17"/>
  <c r="F5" i="23" s="1"/>
  <c r="F21" i="23" s="1"/>
  <c r="F4" i="14" s="1"/>
  <c r="D5" i="23"/>
  <c r="D21" i="23" s="1"/>
  <c r="D4" i="14" s="1"/>
  <c r="A21" i="23"/>
  <c r="C21" i="23"/>
  <c r="C4" i="14" s="1"/>
  <c r="B21" i="23"/>
  <c r="B4" i="14" s="1"/>
  <c r="F81" i="13"/>
  <c r="I81" i="13" s="1"/>
  <c r="F89" i="13"/>
  <c r="I89" i="13"/>
  <c r="C101" i="16"/>
  <c r="C14" i="14" s="1"/>
  <c r="X43" i="17"/>
  <c r="X27" i="17"/>
  <c r="X47" i="17" l="1"/>
  <c r="F4" i="23" s="1"/>
  <c r="F20" i="23" s="1"/>
  <c r="F3" i="14" s="1"/>
  <c r="D4" i="23"/>
  <c r="D20" i="23" s="1"/>
  <c r="D3" i="14" s="1"/>
  <c r="X31" i="17"/>
  <c r="F3" i="23" s="1"/>
  <c r="F19" i="23" s="1"/>
  <c r="F2" i="14" s="1"/>
  <c r="D3" i="23"/>
  <c r="D19" i="23" s="1"/>
  <c r="D2" i="14" s="1"/>
  <c r="C103" i="16"/>
  <c r="J89" i="13"/>
  <c r="AA63" i="17"/>
  <c r="F5" i="14" l="1"/>
  <c r="C48" i="14" s="1"/>
  <c r="G9" i="14" s="1"/>
  <c r="B35" i="11"/>
  <c r="B36" i="11"/>
  <c r="M9" i="14" l="1"/>
  <c r="N9" i="14"/>
  <c r="H9" i="14"/>
  <c r="F9" i="14"/>
  <c r="K9" i="14"/>
  <c r="I9" i="14"/>
  <c r="L9" i="14"/>
  <c r="D9" i="14"/>
  <c r="E9" i="14"/>
  <c r="C9" i="14"/>
  <c r="J9" i="14"/>
  <c r="B11" i="11"/>
  <c r="B12" i="11"/>
  <c r="B18" i="11"/>
  <c r="B19" i="11"/>
  <c r="B20" i="11"/>
  <c r="B21" i="11"/>
  <c r="B26" i="11"/>
  <c r="B31" i="11"/>
  <c r="B32" i="11"/>
  <c r="B33" i="11"/>
  <c r="B34" i="11"/>
  <c r="O9" i="14" l="1"/>
  <c r="J82" i="13"/>
  <c r="J83" i="13"/>
  <c r="J84" i="13"/>
  <c r="J81" i="13"/>
  <c r="J51" i="13"/>
  <c r="J53" i="13"/>
  <c r="J55" i="13"/>
  <c r="J58" i="13"/>
  <c r="J60" i="13"/>
  <c r="J61" i="13"/>
  <c r="J62" i="13"/>
  <c r="J63" i="13"/>
  <c r="J64" i="13"/>
  <c r="J66" i="13"/>
  <c r="J69" i="13"/>
  <c r="J71" i="13"/>
  <c r="J72" i="13"/>
  <c r="J73" i="13"/>
  <c r="J74" i="13"/>
  <c r="J75" i="13"/>
  <c r="J76" i="13"/>
  <c r="J77" i="13"/>
  <c r="J50" i="13"/>
  <c r="J15" i="13"/>
  <c r="J17" i="13"/>
  <c r="J19" i="13"/>
  <c r="J21" i="13"/>
  <c r="J23" i="13"/>
  <c r="J25" i="13"/>
  <c r="J27" i="13"/>
  <c r="J29" i="13"/>
  <c r="J31" i="13"/>
  <c r="J32" i="13"/>
  <c r="J33" i="13"/>
  <c r="J35" i="13"/>
  <c r="J36" i="13"/>
  <c r="J37" i="13"/>
  <c r="J39" i="13"/>
  <c r="J41" i="13"/>
  <c r="J43" i="13"/>
  <c r="J12" i="13"/>
  <c r="I86" i="13"/>
  <c r="I78" i="13"/>
  <c r="I68" i="13"/>
  <c r="I47" i="13"/>
  <c r="B51" i="11"/>
  <c r="R4" i="12" l="1"/>
  <c r="B68" i="11" l="1"/>
  <c r="B69" i="11"/>
  <c r="B67" i="11"/>
  <c r="B62" i="11"/>
  <c r="B63" i="11"/>
  <c r="B57" i="11"/>
  <c r="B58" i="11"/>
  <c r="B59" i="11"/>
  <c r="B60" i="11"/>
  <c r="B61" i="11"/>
  <c r="B55" i="11"/>
  <c r="B50" i="11"/>
  <c r="B49" i="11"/>
  <c r="B44" i="11"/>
  <c r="B45" i="11"/>
  <c r="B43" i="11"/>
  <c r="B28" i="11"/>
  <c r="B29" i="11"/>
  <c r="B30" i="11"/>
  <c r="B27" i="11"/>
  <c r="B37" i="11"/>
  <c r="B38" i="11"/>
  <c r="B3" i="11"/>
  <c r="B2" i="11"/>
  <c r="B77" i="11" s="1"/>
  <c r="C4" i="13" l="1"/>
  <c r="O34" i="14"/>
  <c r="D40" i="13" s="1"/>
  <c r="F40" i="13" s="1"/>
  <c r="I40" i="13" s="1"/>
  <c r="O33" i="14"/>
  <c r="D38" i="13" s="1"/>
  <c r="F38" i="13" s="1"/>
  <c r="O32" i="14"/>
  <c r="D42" i="13" s="1"/>
  <c r="F42" i="13" s="1"/>
  <c r="I42" i="13" s="1"/>
  <c r="O30" i="14"/>
  <c r="D34" i="13" s="1"/>
  <c r="F34" i="13" s="1"/>
  <c r="O29" i="14"/>
  <c r="O28" i="14"/>
  <c r="D30" i="13" s="1"/>
  <c r="F30" i="13" s="1"/>
  <c r="I30" i="13" s="1"/>
  <c r="O27" i="14"/>
  <c r="D28" i="13" s="1"/>
  <c r="F28" i="13" s="1"/>
  <c r="I28" i="13" s="1"/>
  <c r="O26" i="14"/>
  <c r="D26" i="13" s="1"/>
  <c r="F26" i="13" s="1"/>
  <c r="I26" i="13" s="1"/>
  <c r="O24" i="14"/>
  <c r="D24" i="13" s="1"/>
  <c r="F24" i="13" s="1"/>
  <c r="I24" i="13" s="1"/>
  <c r="O23" i="14"/>
  <c r="D22" i="13" s="1"/>
  <c r="F22" i="13" s="1"/>
  <c r="I22" i="13" s="1"/>
  <c r="O22" i="14"/>
  <c r="D20" i="13" s="1"/>
  <c r="F20" i="13" s="1"/>
  <c r="I20" i="13" s="1"/>
  <c r="O21" i="14"/>
  <c r="D18" i="13" s="1"/>
  <c r="F18" i="13" s="1"/>
  <c r="I18" i="13" s="1"/>
  <c r="O20" i="14"/>
  <c r="D16" i="13" s="1"/>
  <c r="F16" i="13" s="1"/>
  <c r="I16" i="13" s="1"/>
  <c r="O19" i="14"/>
  <c r="N15" i="14"/>
  <c r="M15" i="14"/>
  <c r="L15" i="14"/>
  <c r="K15" i="14"/>
  <c r="J15" i="14"/>
  <c r="I15" i="14"/>
  <c r="H15" i="14"/>
  <c r="G15" i="14"/>
  <c r="F15" i="14"/>
  <c r="E15" i="14"/>
  <c r="D15" i="14"/>
  <c r="C15" i="14"/>
  <c r="O14" i="14"/>
  <c r="O13" i="14"/>
  <c r="O12" i="14"/>
  <c r="D18" i="14" s="1"/>
  <c r="H92" i="13"/>
  <c r="H89" i="13"/>
  <c r="D86" i="13"/>
  <c r="H85" i="13"/>
  <c r="H84" i="13"/>
  <c r="H83" i="13"/>
  <c r="J85" i="13" s="1"/>
  <c r="H82" i="13"/>
  <c r="H81" i="13"/>
  <c r="H80" i="13"/>
  <c r="H79" i="13"/>
  <c r="F78" i="13"/>
  <c r="D78" i="13"/>
  <c r="H77" i="13"/>
  <c r="H76" i="13"/>
  <c r="H75" i="13"/>
  <c r="H74" i="13"/>
  <c r="H73" i="13"/>
  <c r="H72" i="13"/>
  <c r="H71" i="13"/>
  <c r="H69" i="13"/>
  <c r="D68" i="13"/>
  <c r="H67" i="13"/>
  <c r="H66" i="13"/>
  <c r="H65" i="13"/>
  <c r="J67" i="13" s="1"/>
  <c r="H64" i="13"/>
  <c r="H63" i="13"/>
  <c r="J65" i="13" s="1"/>
  <c r="H62" i="13"/>
  <c r="H61" i="13"/>
  <c r="H60" i="13"/>
  <c r="H59" i="13"/>
  <c r="H58" i="13"/>
  <c r="H56" i="13"/>
  <c r="H55" i="13"/>
  <c r="H53" i="13"/>
  <c r="H51" i="13"/>
  <c r="H50" i="13"/>
  <c r="H49" i="13"/>
  <c r="H48" i="13"/>
  <c r="F47" i="13"/>
  <c r="H46" i="13"/>
  <c r="H43" i="13"/>
  <c r="H41" i="13"/>
  <c r="H39" i="13"/>
  <c r="H38" i="13"/>
  <c r="H37" i="13"/>
  <c r="H36" i="13"/>
  <c r="H35" i="13"/>
  <c r="H33" i="13"/>
  <c r="H31" i="13"/>
  <c r="H29" i="13"/>
  <c r="H27" i="13"/>
  <c r="H25" i="13"/>
  <c r="H23" i="13"/>
  <c r="H21" i="13"/>
  <c r="H19" i="13"/>
  <c r="H17" i="13"/>
  <c r="H15" i="13"/>
  <c r="H12" i="13"/>
  <c r="H11" i="13"/>
  <c r="H9" i="13"/>
  <c r="H40" i="13" l="1"/>
  <c r="H26" i="13"/>
  <c r="H34" i="13"/>
  <c r="J40" i="13"/>
  <c r="H30" i="13"/>
  <c r="H42" i="13"/>
  <c r="H20" i="13"/>
  <c r="H28" i="13"/>
  <c r="J28" i="13"/>
  <c r="J42" i="13"/>
  <c r="J30" i="13"/>
  <c r="H24" i="13"/>
  <c r="J26" i="13" s="1"/>
  <c r="J22" i="13"/>
  <c r="I34" i="13"/>
  <c r="J34" i="13"/>
  <c r="I38" i="13"/>
  <c r="J38" i="13"/>
  <c r="D8" i="13"/>
  <c r="F8" i="13" s="1"/>
  <c r="H8" i="13" s="1"/>
  <c r="F18" i="14"/>
  <c r="G18" i="14"/>
  <c r="K18" i="14"/>
  <c r="L18" i="14"/>
  <c r="M18" i="14"/>
  <c r="N18" i="14"/>
  <c r="H18" i="14"/>
  <c r="I18" i="14"/>
  <c r="J18" i="14"/>
  <c r="E18" i="14"/>
  <c r="F86" i="13"/>
  <c r="H86" i="13" s="1"/>
  <c r="H22" i="13"/>
  <c r="J24" i="13" s="1"/>
  <c r="G5" i="14"/>
  <c r="H78" i="13"/>
  <c r="O15" i="14"/>
  <c r="I44" i="13" l="1"/>
  <c r="I8" i="13"/>
  <c r="J8" i="13" s="1"/>
  <c r="O18" i="14"/>
  <c r="D10" i="13" s="1"/>
  <c r="F10" i="13" s="1"/>
  <c r="I10" i="13" l="1"/>
  <c r="I13" i="13" s="1"/>
  <c r="I14" i="13" s="1"/>
  <c r="I45" i="13" s="1"/>
  <c r="I94" i="13" s="1"/>
  <c r="J10" i="13"/>
  <c r="F13" i="13"/>
  <c r="D13" i="13"/>
  <c r="H10" i="13"/>
  <c r="C47" i="14"/>
  <c r="J16" i="13"/>
  <c r="H16" i="13"/>
  <c r="D52" i="13"/>
  <c r="F14" i="13" l="1"/>
  <c r="J14" i="13" s="1"/>
  <c r="J13" i="13"/>
  <c r="H52" i="13"/>
  <c r="F52" i="13"/>
  <c r="D14" i="13"/>
  <c r="H13" i="13"/>
  <c r="J18" i="13"/>
  <c r="H18" i="13"/>
  <c r="D57" i="13"/>
  <c r="D70" i="13" s="1"/>
  <c r="D88" i="13" s="1"/>
  <c r="D96" i="13" s="1"/>
  <c r="A1" i="10"/>
  <c r="A67" i="11" s="1"/>
  <c r="A1" i="9"/>
  <c r="A55" i="11" s="1"/>
  <c r="A1" i="8"/>
  <c r="A35" i="11" s="1"/>
  <c r="A1" i="7"/>
  <c r="A43" i="11" s="1"/>
  <c r="A1" i="6"/>
  <c r="A27" i="11" s="1"/>
  <c r="N4" i="12"/>
  <c r="J4" i="12"/>
  <c r="B54" i="12" s="1"/>
  <c r="A1" i="4"/>
  <c r="A49" i="11" s="1"/>
  <c r="A1" i="3"/>
  <c r="A1" i="2"/>
  <c r="A11" i="11" s="1"/>
  <c r="I52" i="13" l="1"/>
  <c r="J52" i="13"/>
  <c r="H14" i="13"/>
  <c r="J20" i="13"/>
  <c r="F44" i="13"/>
  <c r="D95" i="13"/>
  <c r="J59" i="13" l="1"/>
  <c r="F68" i="13"/>
  <c r="J44" i="13"/>
  <c r="F45" i="13"/>
  <c r="J68" i="13" l="1"/>
  <c r="H68" i="13"/>
  <c r="F54" i="13"/>
  <c r="J45" i="13"/>
  <c r="F94" i="13"/>
  <c r="F57" i="13" l="1"/>
  <c r="H57" i="13" s="1"/>
  <c r="H54" i="13"/>
  <c r="J56" i="13" s="1"/>
  <c r="I54" i="13"/>
  <c r="I57" i="13" s="1"/>
  <c r="J57" i="13" l="1"/>
  <c r="F95" i="13"/>
  <c r="H95" i="13" s="1"/>
  <c r="F70" i="13"/>
  <c r="H70" i="13" s="1"/>
  <c r="J54" i="13"/>
  <c r="I95" i="13"/>
  <c r="I70" i="13"/>
  <c r="I88" i="13" s="1"/>
  <c r="I96" i="13" s="1"/>
  <c r="F88" i="13" l="1"/>
  <c r="F96" i="13" s="1"/>
  <c r="H96" i="13" s="1"/>
  <c r="J70" i="13"/>
  <c r="H88" i="13" l="1"/>
  <c r="C31" i="14"/>
  <c r="C35" i="14" s="1"/>
  <c r="C37" i="14" l="1"/>
  <c r="C41" i="14" s="1"/>
  <c r="D31" i="14"/>
  <c r="E31" i="14" l="1"/>
  <c r="D35" i="14"/>
  <c r="D39" i="14"/>
  <c r="D37" i="14" l="1"/>
  <c r="D41" i="14" s="1"/>
  <c r="F31" i="14"/>
  <c r="E35" i="14"/>
  <c r="E37" i="14" s="1"/>
  <c r="G31" i="14" l="1"/>
  <c r="F35" i="14"/>
  <c r="E39" i="14"/>
  <c r="E41" i="14" s="1"/>
  <c r="F39" i="14" s="1"/>
  <c r="F37" i="14" l="1"/>
  <c r="F41" i="14" s="1"/>
  <c r="G39" i="14" s="1"/>
  <c r="G35" i="14"/>
  <c r="G37" i="14" s="1"/>
  <c r="H31" i="14"/>
  <c r="G41" i="14" l="1"/>
  <c r="H39" i="14" s="1"/>
  <c r="H35" i="14"/>
  <c r="I31" i="14"/>
  <c r="J31" i="14" l="1"/>
  <c r="I35" i="14"/>
  <c r="I37" i="14" s="1"/>
  <c r="H37" i="14"/>
  <c r="H41" i="14" s="1"/>
  <c r="I39" i="14" l="1"/>
  <c r="I41" i="14" s="1"/>
  <c r="J39" i="14" s="1"/>
  <c r="J35" i="14"/>
  <c r="J37" i="14" s="1"/>
  <c r="K31" i="14"/>
  <c r="K35" i="14" l="1"/>
  <c r="K37" i="14" s="1"/>
  <c r="L31" i="14"/>
  <c r="J41" i="14"/>
  <c r="K39" i="14" s="1"/>
  <c r="K41" i="14" l="1"/>
  <c r="L39" i="14" s="1"/>
  <c r="M31" i="14"/>
  <c r="L35" i="14"/>
  <c r="L37" i="14" s="1"/>
  <c r="L41" i="14" l="1"/>
  <c r="M39" i="14" s="1"/>
  <c r="M35" i="14"/>
  <c r="M37" i="14" s="1"/>
  <c r="N31" i="14"/>
  <c r="M41" i="14" l="1"/>
  <c r="N39" i="14" s="1"/>
  <c r="N35" i="14"/>
  <c r="O31" i="14"/>
  <c r="C46" i="14" l="1"/>
  <c r="C49" i="14" s="1"/>
  <c r="C50" i="14" s="1"/>
  <c r="D32" i="13"/>
  <c r="N37" i="14"/>
  <c r="N41" i="14" s="1"/>
  <c r="O35" i="14"/>
  <c r="D97" i="13" l="1"/>
  <c r="D44" i="13"/>
  <c r="H32" i="13"/>
  <c r="O41" i="14"/>
  <c r="O45" i="14"/>
  <c r="D50" i="14"/>
  <c r="C8" i="14" s="1"/>
  <c r="D45" i="13" l="1"/>
  <c r="D94" i="13" s="1"/>
  <c r="H94" i="13" s="1"/>
  <c r="H44" i="13"/>
  <c r="E50" i="14"/>
  <c r="D90" i="13" l="1"/>
  <c r="H45" i="13"/>
  <c r="F50" i="14"/>
  <c r="D8" i="14"/>
  <c r="D91" i="13" l="1"/>
  <c r="F90" i="13"/>
  <c r="I90" i="13"/>
  <c r="I91" i="13" s="1"/>
  <c r="G50" i="14"/>
  <c r="E8" i="14"/>
  <c r="H90" i="13" l="1"/>
  <c r="J90" i="13"/>
  <c r="F91" i="13"/>
  <c r="H50" i="14"/>
  <c r="G8" i="14" s="1"/>
  <c r="F8" i="14"/>
  <c r="J91" i="13" l="1"/>
  <c r="H91" i="13"/>
  <c r="I50" i="14"/>
  <c r="J50" i="14" l="1"/>
  <c r="I8" i="14" s="1"/>
  <c r="H8" i="14"/>
  <c r="K50" i="14" l="1"/>
  <c r="L50" i="14" l="1"/>
  <c r="K8" i="14" s="1"/>
  <c r="J8" i="14"/>
  <c r="M50" i="14" l="1"/>
  <c r="N50" i="14" l="1"/>
  <c r="N8" i="14" s="1"/>
  <c r="L8" i="14"/>
  <c r="M8"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Pfeffer</author>
    <author>Uwe Pfeffer</author>
  </authors>
  <commentList>
    <comment ref="R4" authorId="0" shapeId="0" xr:uid="{595F7FCF-EB9F-4D32-99FA-84B35B4C3F6C}">
      <text>
        <r>
          <rPr>
            <b/>
            <sz val="14"/>
            <color indexed="81"/>
            <rFont val="Tahoma"/>
            <family val="2"/>
          </rPr>
          <t>DD/MM/YYYY</t>
        </r>
        <r>
          <rPr>
            <sz val="9"/>
            <color indexed="81"/>
            <rFont val="Tahoma"/>
            <family val="2"/>
          </rPr>
          <t xml:space="preserve">
</t>
        </r>
      </text>
    </comment>
    <comment ref="B10" authorId="1" shapeId="0" xr:uid="{BF9C3874-0E73-4D7B-874D-4EC5257B486B}">
      <text>
        <r>
          <rPr>
            <sz val="14"/>
            <color indexed="81"/>
            <rFont val="Tahoma"/>
            <family val="2"/>
          </rPr>
          <t>Put yourself in your customers’ shoes and describe up to 3 problems they face. Try to understand their unique needs and challenges. These problems will lead to working business models.
What is the crucial problem faced by your consumers? Capture their central frustration.
There are several ways you can get a more informed understanding of your problems, including:
•User Interviews
•User Tests
•Surveys and Questionnaires
Existing Alternatives 
Define one clear, direct competitor. Consider the other ways customers can address their problems. What products or services exist as alternatives to what you're offering?</t>
        </r>
      </text>
    </comment>
    <comment ref="F10" authorId="1" shapeId="0" xr:uid="{7AF3C82B-C2FF-4631-8B24-7E9D6B37EE8E}">
      <text>
        <r>
          <rPr>
            <sz val="14"/>
            <color indexed="81"/>
            <rFont val="Tahoma"/>
            <family val="2"/>
          </rPr>
          <t xml:space="preserve">Define the top three features and capabilities your product or service offers to solve your customers’ problems.
Present the defining elements of your service: what makes it the top tool for addressing consumers’ needs?
Brainstorm 10 features and capabilities of your product or service.  Consider the strengths and flaws of each and whittle your list down to the top three. </t>
        </r>
        <r>
          <rPr>
            <sz val="9"/>
            <color indexed="81"/>
            <rFont val="Tahoma"/>
            <family val="2"/>
          </rPr>
          <t xml:space="preserve">
</t>
        </r>
      </text>
    </comment>
    <comment ref="N10" authorId="1" shapeId="0" xr:uid="{E6568564-0397-456B-A43F-5FF92991897F}">
      <text>
        <r>
          <rPr>
            <sz val="14"/>
            <color indexed="81"/>
            <rFont val="Tahoma"/>
            <family val="2"/>
          </rPr>
          <t>What need is our product or service filling?
What are we doing better than your competitors?
What can’t our competitors imitate?
Possible competitive advantages:
Individualisation
Speed
Innovation
Communication
Cultural diversity
Cost benefit</t>
        </r>
        <r>
          <rPr>
            <sz val="9"/>
            <color indexed="81"/>
            <rFont val="Tahoma"/>
            <family val="2"/>
          </rPr>
          <t xml:space="preserve">
</t>
        </r>
      </text>
    </comment>
    <comment ref="R10" authorId="1" shapeId="0" xr:uid="{6436676E-5FCC-4739-9732-3532AC1E1AC6}">
      <text>
        <r>
          <rPr>
            <sz val="14"/>
            <color indexed="81"/>
            <rFont val="Tahoma"/>
            <family val="2"/>
          </rPr>
          <t>For whom are we creating value?
Who are our most important customers?
Mass Market
Niche Market
Segmented
Diversified
Multi-sided Platform</t>
        </r>
        <r>
          <rPr>
            <sz val="9"/>
            <color indexed="81"/>
            <rFont val="Tahoma"/>
            <family val="2"/>
          </rPr>
          <t xml:space="preserve">
</t>
        </r>
      </text>
    </comment>
    <comment ref="J11" authorId="1" shapeId="0" xr:uid="{8B9B9FAC-D515-4D02-8905-5EF87C305B05}">
      <text>
        <r>
          <rPr>
            <sz val="14"/>
            <color indexed="81"/>
            <rFont val="Tahoma"/>
            <family val="2"/>
          </rPr>
          <t xml:space="preserve">What value do we deliver to the customer?
Which one of our customer’s problems are we helping to solve?
What bundles of products and services are we offering to each Customer Segment?
Which customer needs are we satisfying?
CHARACTERISTICS
Newness
Performance
Customization
“Getting the Job Done”
Design
Brand/Status
Price
Cost Reduction
Risk Reduction
Accessibility
Convenience/Usability
Explain how your offering is different from and better than competitors’. </t>
        </r>
        <r>
          <rPr>
            <sz val="9"/>
            <color indexed="81"/>
            <rFont val="Tahoma"/>
            <family val="2"/>
          </rPr>
          <t xml:space="preserve">
</t>
        </r>
      </text>
    </comment>
    <comment ref="F30" authorId="1" shapeId="0" xr:uid="{ED44E398-0135-48BB-92BF-E1E58A31FEA0}">
      <text>
        <r>
          <rPr>
            <sz val="14"/>
            <color indexed="81"/>
            <rFont val="Tahoma"/>
            <family val="2"/>
          </rPr>
          <t xml:space="preserve">How will you track consumer engagement, excitement, and usage of your product?
What activities drive your product usage? Which statistics indicate how well your company is doing? 
What numbers best underline opportunity for development? 
Key Metrics allow you to track and evaluate the success of a specific business process. A Key Metric could be daily visitors to your site, the number of company emails opened by consumers per hour or the monthly sales of a specific feature.  Every sector of a business has specific metrics that should be monitored. Fill in this section of your lean canvas with the metrics that are most critical to the problems you’re trying to solve. </t>
        </r>
      </text>
    </comment>
    <comment ref="N30" authorId="1" shapeId="0" xr:uid="{EA62F8FA-2618-49C0-90A9-21B89BEEE05F}">
      <text>
        <r>
          <rPr>
            <sz val="14"/>
            <color indexed="81"/>
            <rFont val="Tahoma"/>
            <family val="2"/>
          </rPr>
          <t xml:space="preserve">Through which Channels do our Customer Segments want to be reached?
How are we reaching them now?
How are our Channels integrated?
Which ones work best?
Which ones are most cost-efficient?
How are we integrating them with customer routines?
</t>
        </r>
        <r>
          <rPr>
            <b/>
            <sz val="14"/>
            <color indexed="81"/>
            <rFont val="Tahoma"/>
            <family val="2"/>
          </rPr>
          <t>CHANNEL PHASES</t>
        </r>
        <r>
          <rPr>
            <sz val="14"/>
            <color indexed="81"/>
            <rFont val="Tahoma"/>
            <family val="2"/>
          </rPr>
          <t xml:space="preserve">
</t>
        </r>
        <r>
          <rPr>
            <b/>
            <sz val="14"/>
            <color indexed="81"/>
            <rFont val="Tahoma"/>
            <family val="2"/>
          </rPr>
          <t>1. Awareness</t>
        </r>
        <r>
          <rPr>
            <sz val="14"/>
            <color indexed="81"/>
            <rFont val="Tahoma"/>
            <family val="2"/>
          </rPr>
          <t xml:space="preserve">
How do we raise awareness about our company’s products and services?
</t>
        </r>
        <r>
          <rPr>
            <b/>
            <sz val="14"/>
            <color indexed="81"/>
            <rFont val="Tahoma"/>
            <family val="2"/>
          </rPr>
          <t>2. Evaluation</t>
        </r>
        <r>
          <rPr>
            <sz val="14"/>
            <color indexed="81"/>
            <rFont val="Tahoma"/>
            <family val="2"/>
          </rPr>
          <t xml:space="preserve">
How do we help customers evaluate our organization’s Value Proposition?
</t>
        </r>
        <r>
          <rPr>
            <b/>
            <sz val="14"/>
            <color indexed="81"/>
            <rFont val="Tahoma"/>
            <family val="2"/>
          </rPr>
          <t>3. Purchase</t>
        </r>
        <r>
          <rPr>
            <sz val="14"/>
            <color indexed="81"/>
            <rFont val="Tahoma"/>
            <family val="2"/>
          </rPr>
          <t xml:space="preserve">
How do we allow customers to purchase specific products and services?
</t>
        </r>
        <r>
          <rPr>
            <b/>
            <sz val="14"/>
            <color indexed="81"/>
            <rFont val="Tahoma"/>
            <family val="2"/>
          </rPr>
          <t>4. Delivery</t>
        </r>
        <r>
          <rPr>
            <sz val="14"/>
            <color indexed="81"/>
            <rFont val="Tahoma"/>
            <family val="2"/>
          </rPr>
          <t xml:space="preserve">
How do we deliver a Value Proposition to customers?
</t>
        </r>
        <r>
          <rPr>
            <b/>
            <sz val="14"/>
            <color indexed="81"/>
            <rFont val="Tahoma"/>
            <family val="2"/>
          </rPr>
          <t>5. After sales</t>
        </r>
        <r>
          <rPr>
            <sz val="14"/>
            <color indexed="81"/>
            <rFont val="Tahoma"/>
            <family val="2"/>
          </rPr>
          <t xml:space="preserve">
How do we provide post-purchase customer support?</t>
        </r>
        <r>
          <rPr>
            <sz val="9"/>
            <color indexed="81"/>
            <rFont val="Tahoma"/>
            <family val="2"/>
          </rPr>
          <t xml:space="preserve">
</t>
        </r>
      </text>
    </comment>
    <comment ref="B50" authorId="1" shapeId="0" xr:uid="{6A79964A-DE7F-4E7C-9FC3-DFEF0D569AD2}">
      <text>
        <r>
          <rPr>
            <sz val="14"/>
            <color indexed="81"/>
            <rFont val="Tahoma"/>
            <family val="2"/>
          </rPr>
          <t xml:space="preserve">What are the most important costs inherent in our business model?
Which Key Resources are most expensive?
Which Key Activities are most expensive?
</t>
        </r>
        <r>
          <rPr>
            <b/>
            <sz val="14"/>
            <color indexed="81"/>
            <rFont val="Tahoma"/>
            <family val="2"/>
          </rPr>
          <t xml:space="preserve">
IS YOUR BUSINESS MORE</t>
        </r>
        <r>
          <rPr>
            <sz val="14"/>
            <color indexed="81"/>
            <rFont val="Tahoma"/>
            <family val="2"/>
          </rPr>
          <t xml:space="preserve">
Cost Driven (leanest cost structure, low price value proposition, maximum automation, extensive outsourcing)
Value Driven (focused on value creation, premium value proposition)
</t>
        </r>
        <r>
          <rPr>
            <b/>
            <sz val="14"/>
            <color indexed="81"/>
            <rFont val="Tahoma"/>
            <family val="2"/>
          </rPr>
          <t>SAMPLE CHARACTERISTICS</t>
        </r>
        <r>
          <rPr>
            <sz val="14"/>
            <color indexed="81"/>
            <rFont val="Tahoma"/>
            <family val="2"/>
          </rPr>
          <t xml:space="preserve">
Fixed Costs (salaries, rents, utilities)
Variable costs
Economies of scale</t>
        </r>
        <r>
          <rPr>
            <b/>
            <sz val="9"/>
            <color indexed="81"/>
            <rFont val="Tahoma"/>
            <family val="2"/>
          </rPr>
          <t xml:space="preserve">
</t>
        </r>
        <r>
          <rPr>
            <sz val="14"/>
            <color indexed="81"/>
            <rFont val="Tahoma"/>
            <family val="2"/>
          </rPr>
          <t>Economies of scope</t>
        </r>
        <r>
          <rPr>
            <sz val="9"/>
            <color indexed="81"/>
            <rFont val="Tahoma"/>
            <family val="2"/>
          </rPr>
          <t xml:space="preserve">
</t>
        </r>
      </text>
    </comment>
    <comment ref="L50" authorId="1" shapeId="0" xr:uid="{E388C8D9-71CB-4F73-B6D9-C7E46D774C42}">
      <text>
        <r>
          <rPr>
            <sz val="14"/>
            <color indexed="81"/>
            <rFont val="Arial"/>
            <family val="2"/>
          </rPr>
          <t xml:space="preserve">For what value are our customers really willing to pay?
For what do they currently pay?
How are they currently paying?
How would they prefer to pay?
How much does each Revenue Stream contribute to overall revenues?
</t>
        </r>
        <r>
          <rPr>
            <b/>
            <sz val="14"/>
            <color indexed="81"/>
            <rFont val="Arial"/>
            <family val="2"/>
          </rPr>
          <t>TYPES</t>
        </r>
        <r>
          <rPr>
            <sz val="14"/>
            <color indexed="81"/>
            <rFont val="Arial"/>
            <family val="2"/>
          </rPr>
          <t xml:space="preserve">
Asset sale
Usage fee
Subscription Fees
Lending/Renting/Leasing
Licensing
Brokerage fees
Advertising
</t>
        </r>
        <r>
          <rPr>
            <b/>
            <sz val="14"/>
            <color indexed="81"/>
            <rFont val="Arial"/>
            <family val="2"/>
          </rPr>
          <t>FIXED PRICING</t>
        </r>
        <r>
          <rPr>
            <sz val="14"/>
            <color indexed="81"/>
            <rFont val="Arial"/>
            <family val="2"/>
          </rPr>
          <t xml:space="preserve">
List Price
Product feature dependent
Customer segment
dependent
Volume dependent
</t>
        </r>
        <r>
          <rPr>
            <b/>
            <sz val="14"/>
            <color indexed="81"/>
            <rFont val="Arial"/>
            <family val="2"/>
          </rPr>
          <t>DYNAMIC PRICING</t>
        </r>
        <r>
          <rPr>
            <sz val="14"/>
            <color indexed="81"/>
            <rFont val="Arial"/>
            <family val="2"/>
          </rPr>
          <t xml:space="preserve">
Negotiation (bargaining)
Yield Management
Real-time-Market</t>
        </r>
        <r>
          <rPr>
            <sz val="12"/>
            <color indexed="81"/>
            <rFont val="Arial"/>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Uwe Pfeffer</author>
  </authors>
  <commentList>
    <comment ref="A11" authorId="0" shapeId="0" xr:uid="{B33E7A1B-5490-4101-A6F7-3741D1D44F71}">
      <text>
        <r>
          <rPr>
            <b/>
            <sz val="9"/>
            <color indexed="81"/>
            <rFont val="Tahoma"/>
            <family val="2"/>
          </rPr>
          <t>Examples:</t>
        </r>
        <r>
          <rPr>
            <sz val="9"/>
            <color indexed="81"/>
            <rFont val="Tahoma"/>
            <family val="2"/>
          </rPr>
          <t xml:space="preserve">
M&amp;M's: "Melts in your mouth, not in your hand."
Head &amp; Shoulders: "Clinically proven to reduce dandruff." 
FedEx: "When it absolutely, positively has to be there overnight."
Southwest Airlines: "We are THE low-fare airline."
The North Face: "products that last a lifetime"
DeathWish Coffee: "the world’s strongest coffee"
TushBaby: "the best for you and your baby"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Thomas Papanikolaou</author>
    <author>Uwe Pfeffer</author>
  </authors>
  <commentList>
    <comment ref="B8" authorId="0" shapeId="0" xr:uid="{8D6D89B4-D535-4EF6-88D8-2DEF4A1EE96C}">
      <text>
        <r>
          <rPr>
            <sz val="14"/>
            <color indexed="81"/>
            <rFont val="Calibri"/>
            <family val="2"/>
          </rPr>
          <t xml:space="preserve">A benefit is what your product does for the customer. The benefits are the ways that the features make your customer’s life easier by increasing pleasure or decreasing pain. The benefits of your product are the core of your value proposition. The best way to list out the benefits of your product is to imagine all the ways that your product makes your customer’s life better.
</t>
        </r>
      </text>
    </comment>
    <comment ref="F8" authorId="0" shapeId="0" xr:uid="{7E480DBF-8E66-498C-810B-E500E3D00C91}">
      <text>
        <r>
          <rPr>
            <b/>
            <sz val="14"/>
            <color indexed="81"/>
            <rFont val="Calibri"/>
            <family val="2"/>
          </rPr>
          <t>The product experience is the way that owning your product makes the customer feel. It’s the sum total of the combined features and benefits. Product epxierence is different to features and benefits because it’s more about the emotional reasons why people buy your product. The product experience is the kernel that will help identify the market positioning and brand essence that is usually built out of the value proposition.</t>
        </r>
      </text>
    </comment>
    <comment ref="N8" authorId="0" shapeId="0" xr:uid="{1BE96F66-FCB5-4BBB-BEF2-351D232AF36A}">
      <text>
        <r>
          <rPr>
            <sz val="14"/>
            <color indexed="81"/>
            <rFont val="Calibri"/>
            <family val="2"/>
          </rPr>
          <t>The emotional drivers of decision making are things that we want to be, do or have. Our wants are usually conscious (but aspirational) thoughts about how we’d like to improve our lives. They sometimes seem like daydreams but they can be powerful motivators of action. The wants speak more to the pull of our hearts and our emotions. I may need a car to get from A to B, but I want a BMW.</t>
        </r>
        <r>
          <rPr>
            <sz val="9"/>
            <color indexed="81"/>
            <rFont val="Calibri"/>
            <family val="2"/>
          </rPr>
          <t xml:space="preserve">
</t>
        </r>
      </text>
    </comment>
    <comment ref="R8" authorId="0" shapeId="0" xr:uid="{F00B1D1A-7586-4170-A62D-B360243EE2DD}">
      <text>
        <r>
          <rPr>
            <sz val="14"/>
            <color indexed="81"/>
            <rFont val="Calibri"/>
            <family val="2"/>
          </rPr>
          <t>The dark side of making a decision is that it carries fear. Fear of making a mistake, fear of missing out, fear of loss and dozens of other related fears. Fears can be a strong driver of purchasing behaviour and can be the hidden source of wants and needs. Customer fears are often the secret reason that no one is buying your widget. For any product there is a secret “pain of switching“. Even if your product is better than the competition, it might not be a big enough improvement to overcome the inertia of the status quo.</t>
        </r>
      </text>
    </comment>
    <comment ref="B28" authorId="0" shapeId="0" xr:uid="{546FDC41-5AF5-40FF-B04E-3A9E0883571C}">
      <text>
        <r>
          <rPr>
            <sz val="14"/>
            <color indexed="81"/>
            <rFont val="Calibri"/>
            <family val="2"/>
          </rPr>
          <t>A feature is a factual description of how your product works. The features are the functioning attributes of your product. The features also provide the ‘reasons to believe’. Many FMCG marketers deride the importance of features because features are no longer a point of difference in most FMCG marketing. But for technology products and innovative new services the features can still be important.</t>
        </r>
        <r>
          <rPr>
            <sz val="9"/>
            <color indexed="81"/>
            <rFont val="Calibri"/>
            <family val="2"/>
          </rPr>
          <t xml:space="preserve">
</t>
        </r>
      </text>
    </comment>
    <comment ref="N28" authorId="0" shapeId="0" xr:uid="{438AE07A-58D8-480D-92DB-05749E29E6E1}">
      <text>
        <r>
          <rPr>
            <sz val="14"/>
            <color indexed="81"/>
            <rFont val="Calibri"/>
            <family val="2"/>
          </rPr>
          <t>The customer’s needs are the rational things that the customer needs to get done. Interestingly, needs are not always conscious. Customers can have needs that they may not know about yet. Designers call these “latent needs“. The best example is that none of us knew that we needed a portable music player until we saw an iPod for the first time (we also then suddenly wanted an iPod rather than any other perfectly good music player). The needs speak more to the pull of our heads and rational motivations.</t>
        </r>
        <r>
          <rPr>
            <sz val="9"/>
            <color indexed="81"/>
            <rFont val="Calibri"/>
            <family val="2"/>
          </rPr>
          <t xml:space="preserve">
</t>
        </r>
      </text>
    </comment>
    <comment ref="N52" authorId="0" shapeId="0" xr:uid="{857CD470-72E7-44CC-9F1F-96BE3580AFEF}">
      <text>
        <r>
          <rPr>
            <sz val="14"/>
            <color indexed="81"/>
            <rFont val="Calibri"/>
            <family val="2"/>
          </rPr>
          <t>These aren’t the obvious competitors, instead look for the existing coping behaviours. This is on the canvas because it shocks us into remembering that our customers are real people with daily lives who have made it this far in life without our product. No matter how much better your product is than the competition, if it isn’t better than the existing solutions then you don’t have a real world value proposition.</t>
        </r>
      </text>
    </comment>
    <comment ref="B59" authorId="1" shapeId="0" xr:uid="{D99E1829-11D8-4F89-BA96-A1AA7884427E}">
      <text>
        <r>
          <rPr>
            <sz val="10"/>
            <color indexed="81"/>
            <rFont val="Tahoma"/>
            <family val="2"/>
          </rPr>
          <t xml:space="preserve">Please state your Value Proposition in one to two sentences.
A truly great value proposition is a statement that paints a clear picture of what your brand has to offer for prospects.
Examples:
Apple MacBook: "Light. Years ahead."
Vimeo: "Make life worth watching."
Fresh Books: "Small Business Accounting Software. Designed for Yu, The Non-Accountant."
Evernote: "Remember Everything"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tc={8C5279FD-4AEF-48A2-AE78-73B15BCDCA79}</author>
  </authors>
  <commentList>
    <comment ref="A1" authorId="0" shapeId="0" xr:uid="{8C5279FD-4AEF-48A2-AE78-73B15BCDCA79}">
      <text>
        <t>[Threaded comment]
Your version of Excel allows you to read this threaded comment; however, any edits to it will get removed if the file is opened in a newer version of Excel. Learn more: https://go.microsoft.com/fwlink/?linkid=870924
Comment:
    CHANNEL PHASES
1. Awareness
2. Evaluation
3. Purchase
4. Delivery
5. After sales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Uwe Pfeffer</author>
    <author>Pfeffer</author>
  </authors>
  <commentList>
    <comment ref="C58" authorId="0" shapeId="0" xr:uid="{26979012-8A92-44CE-84D6-38B7FA317112}">
      <text>
        <r>
          <rPr>
            <b/>
            <sz val="9"/>
            <color indexed="81"/>
            <rFont val="Tahoma"/>
            <family val="2"/>
          </rPr>
          <t xml:space="preserve">ADD A RESERVE FOR CONTINGENCIES
Be sure to explain in your narrative how you decided on the amount you are putting into this reserve. 
</t>
        </r>
        <r>
          <rPr>
            <sz val="9"/>
            <color indexed="81"/>
            <rFont val="Tahoma"/>
            <family val="2"/>
          </rPr>
          <t xml:space="preserve">
</t>
        </r>
      </text>
    </comment>
    <comment ref="C60" authorId="0" shapeId="0" xr:uid="{620790B1-C28C-40C2-9025-141D42F67093}">
      <text>
        <r>
          <rPr>
            <b/>
            <sz val="9"/>
            <color indexed="81"/>
            <rFont val="Tahoma"/>
            <family val="2"/>
          </rPr>
          <t xml:space="preserve">DETERMINE YOUR CASH FLOW
You cannot open with an empty bank account. You need a cash cushion to meet expenses while the business gets going. Eventually you should do a 12-month cash flow projection. This is where you will work out your estimate of working capital needs. For now, either leave this line blank or put in your best rough guess. After you have completed your cash flow, you can come back and enter the carefully researched amount.
</t>
        </r>
      </text>
    </comment>
    <comment ref="A103" authorId="1" shapeId="0" xr:uid="{4ED5DEB7-1C13-419C-A3C4-B02AC51910BB}">
      <text>
        <r>
          <rPr>
            <b/>
            <sz val="9"/>
            <color indexed="81"/>
            <rFont val="Tahoma"/>
            <family val="2"/>
          </rPr>
          <t>Coverage has to be zero, means your investments and expenses are 100 % covered.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Pfeffer</author>
  </authors>
  <commentList>
    <comment ref="N27" authorId="0" shapeId="0" xr:uid="{016B7052-2A9A-4C73-9AB4-2C48A9B81E96}">
      <text>
        <r>
          <rPr>
            <b/>
            <sz val="9"/>
            <color indexed="81"/>
            <rFont val="Tahoma"/>
            <family val="2"/>
          </rPr>
          <t>The total of the column must be 100%.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Uwe Pfeffer</author>
    <author>Pfeffer</author>
  </authors>
  <commentList>
    <comment ref="B12" authorId="0" shapeId="0" xr:uid="{653D594A-88E8-43C1-96D3-B025B6F7C982}">
      <text>
        <r>
          <rPr>
            <b/>
            <sz val="9"/>
            <color indexed="81"/>
            <rFont val="Tahoma"/>
            <family val="2"/>
          </rPr>
          <t>Please spread the planned Turnover (Cell E5) over the next 12 months between cash from sales and from debtors</t>
        </r>
        <r>
          <rPr>
            <sz val="9"/>
            <color indexed="81"/>
            <rFont val="Tahoma"/>
            <family val="2"/>
          </rPr>
          <t xml:space="preserve">
</t>
        </r>
      </text>
    </comment>
    <comment ref="B14" authorId="1" shapeId="0" xr:uid="{3F33A7FC-1606-48E5-B624-DD98F2A90776}">
      <text>
        <r>
          <rPr>
            <b/>
            <sz val="9"/>
            <color indexed="81"/>
            <rFont val="Tahoma"/>
            <family val="2"/>
          </rPr>
          <t xml:space="preserve">Cash injection from bank loan and other loans
</t>
        </r>
      </text>
    </comment>
    <comment ref="O45" authorId="0" shapeId="0" xr:uid="{9E7775C6-CF2B-4533-83DF-0A915B4BBFFA}">
      <text>
        <r>
          <rPr>
            <b/>
            <sz val="9"/>
            <color indexed="81"/>
            <rFont val="Tahoma"/>
            <family val="2"/>
          </rPr>
          <t>You have to ask your bank for an Overdraft Facility</t>
        </r>
        <r>
          <rPr>
            <sz val="9"/>
            <color indexed="81"/>
            <rFont val="Tahoma"/>
            <family val="2"/>
          </rPr>
          <t xml:space="preserve">
</t>
        </r>
      </text>
    </comment>
    <comment ref="B49" authorId="0" shapeId="0" xr:uid="{E36F7FB1-CAE1-47BE-BB1C-F065C1BAD27B}">
      <text>
        <r>
          <rPr>
            <b/>
            <sz val="9"/>
            <color indexed="81"/>
            <rFont val="Tahoma"/>
            <family val="2"/>
          </rPr>
          <t>Break-Even Point = Fixed Costs p.a. / (Revenue per Unit - Variable Cost per Unit)</t>
        </r>
        <r>
          <rPr>
            <sz val="9"/>
            <color indexed="81"/>
            <rFont val="Tahoma"/>
            <family val="2"/>
          </rPr>
          <t xml:space="preserve">
In simple words, the break-even point can be defined as a point where total costs (expenses) and total sales (revenue) are equal. Break-even point can be described as a point where there is no net profit or loss.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Uwe Pfeffer</author>
  </authors>
  <commentList>
    <comment ref="F5" authorId="0" shapeId="0" xr:uid="{F0E6EAFA-5B8C-4A92-A676-963DB18EB5AB}">
      <text>
        <r>
          <rPr>
            <b/>
            <sz val="9"/>
            <color indexed="81"/>
            <rFont val="Tahoma"/>
            <family val="2"/>
          </rPr>
          <t>Please capture the individual planned figures of Year 2 manually or an overall percentage of change</t>
        </r>
        <r>
          <rPr>
            <sz val="9"/>
            <color indexed="81"/>
            <rFont val="Tahoma"/>
            <family val="2"/>
          </rPr>
          <t xml:space="preserve">
</t>
        </r>
      </text>
    </comment>
    <comment ref="I5" authorId="0" shapeId="0" xr:uid="{CAC96496-D00C-4D7B-8F2C-EE1F552B2FEE}">
      <text>
        <r>
          <rPr>
            <b/>
            <sz val="9"/>
            <color indexed="81"/>
            <rFont val="Tahoma"/>
            <family val="2"/>
          </rPr>
          <t>Please capture the individual planned figures of Year 3 manually or an overall percentage of change</t>
        </r>
        <r>
          <rPr>
            <sz val="9"/>
            <color indexed="81"/>
            <rFont val="Tahoma"/>
            <family val="2"/>
          </rPr>
          <t xml:space="preserve">
</t>
        </r>
      </text>
    </comment>
    <comment ref="D7" authorId="0" shapeId="0" xr:uid="{3D1238A2-DDEA-481D-8D94-C25F47BD5D7D}">
      <text>
        <r>
          <rPr>
            <b/>
            <sz val="9"/>
            <color indexed="81"/>
            <rFont val="Tahoma"/>
            <family val="2"/>
          </rPr>
          <t>Uwe Pfeffer:</t>
        </r>
        <r>
          <rPr>
            <sz val="9"/>
            <color indexed="81"/>
            <rFont val="Tahoma"/>
            <family val="2"/>
          </rPr>
          <t xml:space="preserve">
Please capture the planned figures for Depreciation and your Assets/Liabilities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Uwe Pfeffer</author>
    <author>Pfeffer</author>
  </authors>
  <commentList>
    <comment ref="B7" authorId="0" shapeId="0" xr:uid="{D6DC2F0B-08D0-4677-904E-C6502922DC32}">
      <text>
        <r>
          <rPr>
            <sz val="9"/>
            <color indexed="81"/>
            <rFont val="Tahoma"/>
            <family val="2"/>
          </rPr>
          <t>Please write down a short Management Summary about the most important things.</t>
        </r>
      </text>
    </comment>
    <comment ref="B8" authorId="0" shapeId="0" xr:uid="{8FC382DE-89AE-4E7C-BAAA-0A601BD46132}">
      <text>
        <r>
          <rPr>
            <sz val="9"/>
            <color indexed="81"/>
            <rFont val="Tahoma"/>
            <family val="2"/>
          </rPr>
          <t xml:space="preserve">This section should articulate your hopes and dreams for the business. You can write a vision statement. For example:
What are you building?
What do you see this business becoming in x years?
How do you plan to grow the business and to what degree? For example, will you hire employees, open up branch outlets, or take the business public?
Do you eventually plan to sell the business for profit or to provide money for your retirement?
Examples:
•Tesla: "To create the most compelling car company of the 21st century by driving the world's transition to electric vehicles."
•Ikea: "To create a better everyday life for the many people, this is the IKEA vision."
</t>
        </r>
      </text>
    </comment>
    <comment ref="B9" authorId="0" shapeId="0" xr:uid="{38694039-0908-456F-A409-06D8DAD1D96D}">
      <text>
        <r>
          <rPr>
            <sz val="9"/>
            <color indexed="81"/>
            <rFont val="Tahoma"/>
            <family val="2"/>
          </rPr>
          <t xml:space="preserve">A mission statement is, in some ways, an action-oriented vision statement, declaring the purpose an organization serves to its audience. That often includes a general description of the organization, its function, and its objectives. Ultimately, a mission statement is intended to clarify the "what," the "who," and the "why" of a company. It's the roadmap for the company's vision statement.
Examples:
1.Life is Good: To spread the power of optimism.
2.sweetgreen: To inspire healthier communities by connecting people to real food.
3.Patagonia: Build the best product, cause no unnecessary harm, use business to inspire and implement solutions to the environmental crisis.
4.American Express: We work hard every day to make American Express the world's most respected service brand.
5.Warby Parker: To offer designer eyewear at a revolutionary price, while leading the way for socially conscious businesses.
6.InvisionApp: Question Assumptions. Think Deeply. Iterate as a Lifestyle. Details, Details. Design is Everywhere. Integrity.
7.Honest Tea: To create and promote great-tasting, healthy, organic beverages.
</t>
        </r>
      </text>
    </comment>
    <comment ref="B17" authorId="1" shapeId="0" xr:uid="{D561F16A-17E9-4B62-8F59-40802D124708}">
      <text>
        <r>
          <rPr>
            <sz val="9"/>
            <color indexed="81"/>
            <rFont val="Tahoma"/>
            <family val="2"/>
          </rPr>
          <t xml:space="preserve">
Select Insert in your main manue, then PICTURES and then select the picture you want to insert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<sst xmlns="http://schemas.openxmlformats.org/spreadsheetml/2006/main" count="1019" uniqueCount="507">
  <si>
    <t>The Lean Canvas</t>
  </si>
  <si>
    <t>Designed for:</t>
  </si>
  <si>
    <t>Designed by:</t>
  </si>
  <si>
    <t>Date:</t>
  </si>
  <si>
    <t>Version:</t>
  </si>
  <si>
    <t>Further Information on LC:</t>
  </si>
  <si>
    <t xml:space="preserve"> </t>
  </si>
  <si>
    <t>Read Instructions</t>
  </si>
  <si>
    <t>Watch YouTube video</t>
  </si>
  <si>
    <t xml:space="preserve">Capture your thoughts (use only key words) directly under the topic. Start with problem, then via customer segments to your solution,.... Once you've completed your brainstorming, you can capture the details. </t>
  </si>
  <si>
    <t>To do this, hover over the topic (start with Problem) and activate the topic.</t>
  </si>
  <si>
    <t>Problem</t>
  </si>
  <si>
    <t>Your Solution</t>
  </si>
  <si>
    <t>Value Propositions Canvas</t>
  </si>
  <si>
    <t>Unique Selling Proposition</t>
  </si>
  <si>
    <t>Customer Segments</t>
  </si>
  <si>
    <t>Key Metrics</t>
  </si>
  <si>
    <t>Channels</t>
  </si>
  <si>
    <t>Cost Structure</t>
  </si>
  <si>
    <t>Revenue Streams</t>
  </si>
  <si>
    <t>9. When you have captured all the DATA and finished as well the detailed slides, you can go to your Business Plan</t>
  </si>
  <si>
    <t>Business Plan</t>
  </si>
  <si>
    <t>What is the crucial problem faced by your consumers? Capture their central frustration.</t>
  </si>
  <si>
    <t>What products or services exist as alternatives to what you're offering?</t>
  </si>
  <si>
    <t>How does climate change potentially make the existing problem worse or create new challenges for the target market?</t>
  </si>
  <si>
    <t>Back Lean Canvas</t>
  </si>
  <si>
    <t>For whom are we creating value?</t>
  </si>
  <si>
    <t>Who are our most important customers?</t>
  </si>
  <si>
    <t>What kind of market strategy do we follow (Mass Market, Niche Market, Segmented, Diversified, Multi-sided Platform</t>
  </si>
  <si>
    <t>Can you identify customer segments that you are targeting that may be most vulnerable to the impacts of climate change? (e.g.customer segments/communities that may be located in areas prone to flooding)</t>
  </si>
  <si>
    <t>Product or Service description:</t>
  </si>
  <si>
    <t>The top three features and capabilities of the product or service:</t>
  </si>
  <si>
    <t xml:space="preserve">What numbers best underline opportunity for development? </t>
  </si>
  <si>
    <t>Briefly describe how climate resilience is incorporated into your solution (e.g. use of RE sources, use of water saving techniques)</t>
  </si>
  <si>
    <t>What need is our product or service filling?</t>
  </si>
  <si>
    <t>What are we doing better than our competitors?</t>
  </si>
  <si>
    <t>GoTo Brainstorm Cards if you need inspirations</t>
  </si>
  <si>
    <t>What can’t our competitors imitate?</t>
  </si>
  <si>
    <t>Highlight any product features that addresses climate related challenges or needs of the target audience (e.g. EE, adaptablity to the changes in the environment).  Highlight any unique features that gives your business a competitive advantage due to its climate resilience.</t>
  </si>
  <si>
    <t>Please describe your Unique Selling Proposition in one sentence:</t>
  </si>
  <si>
    <r>
      <rPr>
        <b/>
        <sz val="16"/>
        <color theme="1"/>
        <rFont val="Calibri"/>
        <family val="2"/>
        <scheme val="minor"/>
      </rPr>
      <t>Brainstorm cards</t>
    </r>
    <r>
      <rPr>
        <b/>
        <sz val="12"/>
        <color theme="1"/>
        <rFont val="Calibri"/>
        <family val="2"/>
        <scheme val="minor"/>
      </rPr>
      <t>:</t>
    </r>
    <r>
      <rPr>
        <sz val="12"/>
        <color theme="1"/>
        <rFont val="Calibri"/>
        <family val="2"/>
        <scheme val="minor"/>
      </rPr>
      <t xml:space="preserve"> The Questions on the cards can help you to work out the Unique Selling Proposition.</t>
    </r>
  </si>
  <si>
    <r>
      <rPr>
        <b/>
        <sz val="12"/>
        <color theme="1"/>
        <rFont val="Calibri"/>
        <family val="2"/>
        <scheme val="minor"/>
      </rPr>
      <t xml:space="preserve">1. </t>
    </r>
    <r>
      <rPr>
        <sz val="12"/>
        <color theme="1"/>
        <rFont val="Calibri"/>
        <family val="2"/>
        <scheme val="minor"/>
      </rPr>
      <t>Use the cards to get inspired. If a particular card does not generate an idea within 25 seconds, delete the card (select the card and press delete on your keyboard) and go to the next.</t>
    </r>
  </si>
  <si>
    <r>
      <rPr>
        <b/>
        <sz val="12"/>
        <color theme="1"/>
        <rFont val="Calibri"/>
        <family val="2"/>
        <scheme val="minor"/>
      </rPr>
      <t xml:space="preserve">2. </t>
    </r>
    <r>
      <rPr>
        <sz val="12"/>
        <color theme="1"/>
        <rFont val="Calibri"/>
        <family val="2"/>
        <scheme val="minor"/>
      </rPr>
      <t>Otherwise write down your idea in the last section of the card and move the card with drag and drop to "Your Selection".</t>
    </r>
  </si>
  <si>
    <t>Brainstorm cards:</t>
  </si>
  <si>
    <t>Your Selection:</t>
  </si>
  <si>
    <t>BRAINSTORM CARDS</t>
  </si>
  <si>
    <t>Back USP</t>
  </si>
  <si>
    <t>Value Proposition Canvas</t>
  </si>
  <si>
    <t>Further Information:</t>
  </si>
  <si>
    <t>Benefits</t>
  </si>
  <si>
    <t>Experience</t>
  </si>
  <si>
    <t>Wants</t>
  </si>
  <si>
    <t>Fears</t>
  </si>
  <si>
    <t>Features</t>
  </si>
  <si>
    <t>Needs</t>
  </si>
  <si>
    <t>PRODUCT</t>
  </si>
  <si>
    <t>CUSTOMER</t>
  </si>
  <si>
    <t>Company</t>
  </si>
  <si>
    <t>Substitutes</t>
  </si>
  <si>
    <t>Value Proposition (short description)</t>
  </si>
  <si>
    <t>Ideal Customer</t>
  </si>
  <si>
    <t>By Peter J. Thomson, based on the work of Steve Blank, Clayton Christensen, Seth Godin, Yves Pigneur and Alex Osterwalder. Released under creative commons license to encourage adaption and iteration. No rights asserted.</t>
  </si>
  <si>
    <t>This work is licensed under the Creative Commons Attribution-Share Alike 3.0 Unported License. To view a copy of this license, visit:</t>
  </si>
  <si>
    <t>http://creativecommons.org/licenses/by-sa/3.0/ or send a letter to Creative Commons, 171 Second Street, Suite 300, San Francisco, California, 94105, USA.</t>
  </si>
  <si>
    <t>Excel implementation by: Neos Chronos Limited (https://neoschronos.com/)</t>
  </si>
  <si>
    <t>Through which Channels do our Customer Segments want to be reached? How are we reaching them now?</t>
  </si>
  <si>
    <t>Which ones work best? Which ones are most cost-efficient?</t>
  </si>
  <si>
    <t>Which channels reflect your consciousness of the environment in which you operate? (e.g. use of EV or Hybrid vehicles, use of eco-friendly items such as reusable bags)</t>
  </si>
  <si>
    <t>What kind of investments are necessary?</t>
  </si>
  <si>
    <t>GoTo Investment Planning</t>
  </si>
  <si>
    <t>What are the most important costs inherent in our business model?</t>
  </si>
  <si>
    <t>Which Key Resources are most expensive?</t>
  </si>
  <si>
    <t>Which Key Activities are most expensive?</t>
  </si>
  <si>
    <t>BUSINESS is more Cost Driven (leanest cost structure, low price value proposition, maximum automation, extensive outsourcing) or Value Driven (focused on value creation, premium value proposition)?</t>
  </si>
  <si>
    <t>Identify costs associated with ensuring your business is climate resilience (e.g. additional insurance coverage due to location in which you operate)</t>
  </si>
  <si>
    <t>Company Name:</t>
  </si>
  <si>
    <r>
      <t xml:space="preserve">A NOTE BEFORE USING THIS WORKSHEET
</t>
    </r>
    <r>
      <rPr>
        <sz val="9"/>
        <color theme="4" tint="-0.499984740745262"/>
        <rFont val="Arial"/>
        <family val="2"/>
      </rPr>
      <t>Nearly everyone who has ever started a business has underestimated costs and then faced the danger of running with inadequate capital reserves. The key to avoiding this pitfall is to adopt a rigorous approach to your research and planning. Our Startup Expenses template will guide you through the process.</t>
    </r>
    <r>
      <rPr>
        <sz val="10"/>
        <color theme="4" tint="-0.499984740745262"/>
        <rFont val="Arial"/>
        <family val="2"/>
      </rPr>
      <t xml:space="preserve">
BEGIN BY ESTIMATING EXPENSES
</t>
    </r>
    <r>
      <rPr>
        <sz val="9"/>
        <color theme="4" tint="-0.499984740745262"/>
        <rFont val="Arial"/>
        <family val="2"/>
      </rPr>
      <t xml:space="preserve">What will it cost you to get your business up and running?  The key to accuracy here is attention to detail. For each category of expense, draw up a list of everything you will need to purchase. This will include both tangible assets (for example, equipment, inventory) and services (for example, remodeling, insurance). Then determine where you might purchase these goods or services. Research more than one vendor; i.e.: comparison shop. Do not look at price alone; terms of payment, delivery, reliability, and service are also important. </t>
    </r>
  </si>
  <si>
    <t>STARTUP EXPENSES</t>
  </si>
  <si>
    <t>BUILDINGS/REAL ESTATE</t>
  </si>
  <si>
    <t>AMOUNT</t>
  </si>
  <si>
    <t>DEPRECIATION PERIOD IN YEARS</t>
  </si>
  <si>
    <t>YEAR 1</t>
  </si>
  <si>
    <t>YEAR 2</t>
  </si>
  <si>
    <t>YEAR 3</t>
  </si>
  <si>
    <t>Purchase</t>
  </si>
  <si>
    <t>Construction</t>
  </si>
  <si>
    <t>Remodeling</t>
  </si>
  <si>
    <t>Other</t>
  </si>
  <si>
    <t>Total</t>
  </si>
  <si>
    <t>LEASEHOLD IMPROVEMENTS</t>
  </si>
  <si>
    <t>House 1</t>
  </si>
  <si>
    <t>Item 2</t>
  </si>
  <si>
    <t>Item 3</t>
  </si>
  <si>
    <t>Item 4</t>
  </si>
  <si>
    <t>CAPITAL EQUIPMENT LIST</t>
  </si>
  <si>
    <t>Furniture</t>
  </si>
  <si>
    <t>Equipment</t>
  </si>
  <si>
    <t>Fixtures</t>
  </si>
  <si>
    <t>Machinery</t>
  </si>
  <si>
    <t>LOCATION AND ADMIN EXPENSES</t>
  </si>
  <si>
    <t>Rental</t>
  </si>
  <si>
    <t>Utility deposits</t>
  </si>
  <si>
    <t>Legal and accounting fees</t>
  </si>
  <si>
    <t>Prepaid insurance</t>
  </si>
  <si>
    <t xml:space="preserve">Pre-opening salaries </t>
  </si>
  <si>
    <t>OPENING INVENTORY</t>
  </si>
  <si>
    <t>Category 1</t>
  </si>
  <si>
    <t>Category 2</t>
  </si>
  <si>
    <t>Category 3</t>
  </si>
  <si>
    <t>Category 4</t>
  </si>
  <si>
    <t>Category 5</t>
  </si>
  <si>
    <t>ADVERTISING AND PROMOTIONAL EXPENSES</t>
  </si>
  <si>
    <t>Advertising</t>
  </si>
  <si>
    <t>Signage</t>
  </si>
  <si>
    <t>Printing</t>
  </si>
  <si>
    <t>Travel/entertainment</t>
  </si>
  <si>
    <t>Other/additional categories</t>
  </si>
  <si>
    <t>OTHER EXPENSES</t>
  </si>
  <si>
    <t>Other expense 2</t>
  </si>
  <si>
    <t>Reserve for Contingencies</t>
  </si>
  <si>
    <t>Interest rate</t>
  </si>
  <si>
    <t>Overdraft facility</t>
  </si>
  <si>
    <t>TOTALS</t>
  </si>
  <si>
    <t>Buildings/real estate</t>
  </si>
  <si>
    <t>Leasehold improvements</t>
  </si>
  <si>
    <t>Capital equipment</t>
  </si>
  <si>
    <t>Location/administration expenses</t>
  </si>
  <si>
    <t>Opening inventory</t>
  </si>
  <si>
    <t>Advertising/promotional expenses</t>
  </si>
  <si>
    <t>Other expenses</t>
  </si>
  <si>
    <t>Contingency fund</t>
  </si>
  <si>
    <r>
      <t xml:space="preserve">ENTER YOUR SOURCES OF CAPITAL
</t>
    </r>
    <r>
      <rPr>
        <sz val="9"/>
        <color theme="4" tint="-0.499984740745262"/>
        <rFont val="Arial"/>
        <family val="2"/>
      </rPr>
      <t>Now that you have estimated how much capital will be needed to start, you should turn your attention to the top part of this worksheet. Enter the amounts you will put in yourself, how much will be injected by partners or investors, and how much will be supplied by borrowing.</t>
    </r>
  </si>
  <si>
    <t>SOURCES OF CAPITAL</t>
  </si>
  <si>
    <r>
      <t>OWNERS' INVESTMENT</t>
    </r>
    <r>
      <rPr>
        <sz val="9"/>
        <color theme="4" tint="-0.499984740745262"/>
        <rFont val="Arial"/>
        <family val="2"/>
      </rPr>
      <t xml:space="preserve"> (NAME &amp; OWNERSHIP %)</t>
    </r>
  </si>
  <si>
    <t>Owner</t>
  </si>
  <si>
    <t>Other investor</t>
  </si>
  <si>
    <t>BANK LOANS</t>
  </si>
  <si>
    <t>Duration in years</t>
  </si>
  <si>
    <t>Year 1</t>
  </si>
  <si>
    <t>Year 2</t>
  </si>
  <si>
    <t>Bank 1</t>
  </si>
  <si>
    <t>Bank 2</t>
  </si>
  <si>
    <t>Bank 3</t>
  </si>
  <si>
    <t>Bank 4</t>
  </si>
  <si>
    <t>OTHER LOANS</t>
  </si>
  <si>
    <t>Source 1</t>
  </si>
  <si>
    <t>Source 2</t>
  </si>
  <si>
    <r>
      <t xml:space="preserve">PROVIDE PROOF OF COLLATERAL
</t>
    </r>
    <r>
      <rPr>
        <sz val="9"/>
        <color theme="4" tint="-0.499984740745262"/>
        <rFont val="Arial"/>
        <family val="2"/>
      </rPr>
      <t>If you will be using this plan to support a bank loan request, use the section near the bottom to show what assets are offered as collateral to secure the loan and estimate of the value of these items. Be prepared to offer some proof of your estimates of collateral values.</t>
    </r>
  </si>
  <si>
    <t>SOURCE OF CAPITAL</t>
  </si>
  <si>
    <t>Owners' and other investments</t>
  </si>
  <si>
    <t>Bank loans</t>
  </si>
  <si>
    <t>Other loans</t>
  </si>
  <si>
    <t>Coverage</t>
  </si>
  <si>
    <t>SECURITY AND COLLATERAL FOR LOAN PROPOSAL</t>
  </si>
  <si>
    <t>COLLATERAL FOR LOANS</t>
  </si>
  <si>
    <t>DESCRIPTION</t>
  </si>
  <si>
    <t>VALUE</t>
  </si>
  <si>
    <t>Real estate</t>
  </si>
  <si>
    <t>Other collateral</t>
  </si>
  <si>
    <t>OWNERS</t>
  </si>
  <si>
    <t xml:space="preserve">  </t>
  </si>
  <si>
    <t>Your name here</t>
  </si>
  <si>
    <t>Other owner</t>
  </si>
  <si>
    <t>LOAN GUARANTORS (OTHER THAN OWNERS)</t>
  </si>
  <si>
    <t>Loan guarantor 1</t>
  </si>
  <si>
    <t>Loan guarantor 2</t>
  </si>
  <si>
    <t>Back Cost Structure</t>
  </si>
  <si>
    <t>Loan guarantor 3</t>
  </si>
  <si>
    <t>How much does each Revenue Stream contribute to overall revenues?</t>
  </si>
  <si>
    <t>Describe how your revenue streams may be impacted by possible climate events? (e.g. can customers access your service in the event of a flood, post hurricane or any other climate related events)</t>
  </si>
  <si>
    <t>Please select your type of business:</t>
  </si>
  <si>
    <t>Production</t>
  </si>
  <si>
    <t>Service</t>
  </si>
  <si>
    <t>Restaurant/Bar</t>
  </si>
  <si>
    <t>Layer Production</t>
  </si>
  <si>
    <t>Farming Crops</t>
  </si>
  <si>
    <t>Livestocks</t>
  </si>
  <si>
    <t>Boutique</t>
  </si>
  <si>
    <t>GoTo Financial Planning</t>
  </si>
  <si>
    <t>Product Pricing</t>
  </si>
  <si>
    <t>Step 1: Find your base production cost</t>
  </si>
  <si>
    <t>Step 2: Determine your profit margin</t>
  </si>
  <si>
    <t>Step 3: Establish your product price</t>
  </si>
  <si>
    <t>Product price calculation (Fill in the gray cells):</t>
  </si>
  <si>
    <t>Name of product 1 / service 1:</t>
  </si>
  <si>
    <t>Expected sales quantity in pieces per year (production) or billable hours p.a. (service company):</t>
  </si>
  <si>
    <t>Material Costs</t>
  </si>
  <si>
    <t>Total costs p.a.</t>
  </si>
  <si>
    <t>Per-item costs</t>
  </si>
  <si>
    <t xml:space="preserve">Gather your receipts and add up how much money went into making your product 1 / service 1. </t>
  </si>
  <si>
    <t>Labor Costs</t>
  </si>
  <si>
    <t>Salary of your staff and yourself.</t>
  </si>
  <si>
    <t>Shipping / Postage Costs</t>
  </si>
  <si>
    <t>Base Product Costs</t>
  </si>
  <si>
    <t>Markup</t>
  </si>
  <si>
    <t>Profit Margin</t>
  </si>
  <si>
    <t>Product Price</t>
  </si>
  <si>
    <t xml:space="preserve">Calculate the price of shipping your product if you plan to operate online and offer free shipping. Ifcustomers are going to pay for their own shipping, set this value to zero. </t>
  </si>
  <si>
    <t>X</t>
  </si>
  <si>
    <t xml:space="preserve"> =</t>
  </si>
  <si>
    <t xml:space="preserve"> +</t>
  </si>
  <si>
    <t>Third-Party Market Fees</t>
  </si>
  <si>
    <t xml:space="preserve">Consider all the fees associated with your sale. These can costs such as selling on amarketplace, processing credit card payments, etc. </t>
  </si>
  <si>
    <t>Other Costs</t>
  </si>
  <si>
    <t>Turnover</t>
  </si>
  <si>
    <t>Build in the cost of labels, rental, packaging, advertising, and other essentials you need to run your business.</t>
  </si>
  <si>
    <t>Name of product 2 / service 2:</t>
  </si>
  <si>
    <t xml:space="preserve">Gather your receipts and add up how much money went into making your product 2 / service 2. </t>
  </si>
  <si>
    <t>Name of product 3 / service 3:</t>
  </si>
  <si>
    <t xml:space="preserve">Gather your receipts and add up how much money went into making your product 3 / service 3. </t>
  </si>
  <si>
    <t>Total Turnover p.a.</t>
  </si>
  <si>
    <t>Back Revenue Streams</t>
  </si>
  <si>
    <t>Name of menu 1:</t>
  </si>
  <si>
    <t>Plates per Day</t>
  </si>
  <si>
    <t>Days per Year</t>
  </si>
  <si>
    <t>Expected sales quantity in plates per year :</t>
  </si>
  <si>
    <t>Food Costs</t>
  </si>
  <si>
    <t>Total costs per portion</t>
  </si>
  <si>
    <t xml:space="preserve">Gather your receipts and add up how much money went into making your menu 1. </t>
  </si>
  <si>
    <t>Base Menu Costs</t>
  </si>
  <si>
    <t>Menu Price</t>
  </si>
  <si>
    <t>x</t>
  </si>
  <si>
    <t xml:space="preserve">Consider all the fees associated with your sale. These can costs such as selling on a marketplace, processing credit card payments, etc. </t>
  </si>
  <si>
    <t>Name of menu 2:</t>
  </si>
  <si>
    <t xml:space="preserve">Gather your receipts and add up how much money went into making your menu 2. </t>
  </si>
  <si>
    <t>Name of menu 3:</t>
  </si>
  <si>
    <t xml:space="preserve">Gather your receipts and add up how much money went into making your menu 3. </t>
  </si>
  <si>
    <t>Layer Production: Product Pricing</t>
  </si>
  <si>
    <t>Name of product 1:</t>
  </si>
  <si>
    <t>Layer</t>
  </si>
  <si>
    <t>ASSUMPTIONS</t>
  </si>
  <si>
    <t>Full laying maturity after (months)</t>
  </si>
  <si>
    <t>Economic Laying life (in months)</t>
  </si>
  <si>
    <t>PRE-LAYING SCHEDULE</t>
  </si>
  <si>
    <t>Material Inputs</t>
  </si>
  <si>
    <t>Per Bag</t>
  </si>
  <si>
    <t>No.</t>
  </si>
  <si>
    <t>BATCH COST</t>
  </si>
  <si>
    <t>Starter Feed</t>
  </si>
  <si>
    <t>Grower Feed</t>
  </si>
  <si>
    <t>Wastage</t>
  </si>
  <si>
    <t>Medication</t>
  </si>
  <si>
    <t>Sub-Total</t>
  </si>
  <si>
    <t>Labour Costs</t>
  </si>
  <si>
    <t>Per Week</t>
  </si>
  <si>
    <t>No. Weeks</t>
  </si>
  <si>
    <t>Per Month</t>
  </si>
  <si>
    <t>TOTAL</t>
  </si>
  <si>
    <t>LABOUR</t>
  </si>
  <si>
    <t>SALARY</t>
  </si>
  <si>
    <t>OVERHEADS</t>
  </si>
  <si>
    <t>TOTAL PRODUCTION COSTS TO MATURITY</t>
  </si>
  <si>
    <t>LAYING SCHEDULE</t>
  </si>
  <si>
    <t>No. per day</t>
  </si>
  <si>
    <t>Total Months</t>
  </si>
  <si>
    <t>Feed</t>
  </si>
  <si>
    <t>TOTAL LAYING LIFE COST</t>
  </si>
  <si>
    <t>TOTAL COST</t>
  </si>
  <si>
    <t>Selling price per egg</t>
  </si>
  <si>
    <t>Total amount of eggs</t>
  </si>
  <si>
    <t>Net amount of eggs</t>
  </si>
  <si>
    <t>Revenue</t>
  </si>
  <si>
    <t>Profit margin per Egg</t>
  </si>
  <si>
    <t>Gros profit</t>
  </si>
  <si>
    <t>NET PROFIT</t>
  </si>
  <si>
    <t>Farming Crops: Product Pricing</t>
  </si>
  <si>
    <t>Name of product</t>
  </si>
  <si>
    <t>Acres</t>
  </si>
  <si>
    <t>Yield per plant (lb)</t>
  </si>
  <si>
    <t>No. of plants / Acre</t>
  </si>
  <si>
    <t>Casual Labour rate</t>
  </si>
  <si>
    <t>Total yield (lb)</t>
  </si>
  <si>
    <t>Marketable Yield (lb)less</t>
  </si>
  <si>
    <t>Items</t>
  </si>
  <si>
    <t>Units</t>
  </si>
  <si>
    <t>Cost/unit ($)</t>
  </si>
  <si>
    <t>Depreciation period in years</t>
  </si>
  <si>
    <t>Total Cost ($)</t>
  </si>
  <si>
    <t>Investment</t>
  </si>
  <si>
    <t>Greenhouse</t>
  </si>
  <si>
    <t>Sub-total</t>
  </si>
  <si>
    <t>No of Units</t>
  </si>
  <si>
    <t>Soil preparation</t>
  </si>
  <si>
    <t>Person days</t>
  </si>
  <si>
    <t>Bed formation</t>
  </si>
  <si>
    <t>Planting</t>
  </si>
  <si>
    <t>Fertilizer application</t>
  </si>
  <si>
    <t>Pest &amp; Disease control</t>
  </si>
  <si>
    <t>Manual weed control</t>
  </si>
  <si>
    <t>Harvesting</t>
  </si>
  <si>
    <t>Seedlings</t>
  </si>
  <si>
    <t>Banana Twine</t>
  </si>
  <si>
    <t>Roll</t>
  </si>
  <si>
    <t>Fertilizer</t>
  </si>
  <si>
    <t>Bags</t>
  </si>
  <si>
    <t>Bio Life</t>
  </si>
  <si>
    <t>250 ml</t>
  </si>
  <si>
    <t>Cypro</t>
  </si>
  <si>
    <t>Newmectin</t>
  </si>
  <si>
    <t>Bountiful Harvest</t>
  </si>
  <si>
    <t>Pronto</t>
  </si>
  <si>
    <t>Calcium Boron</t>
  </si>
  <si>
    <t>500 ml</t>
  </si>
  <si>
    <t>Manure</t>
  </si>
  <si>
    <t>bags</t>
  </si>
  <si>
    <t>Other Cost</t>
  </si>
  <si>
    <t>Contingencies</t>
  </si>
  <si>
    <t xml:space="preserve"> in % of labour cost &amp; material</t>
  </si>
  <si>
    <t>Tools</t>
  </si>
  <si>
    <t xml:space="preserve"> in % of Material</t>
  </si>
  <si>
    <t>Land charges</t>
  </si>
  <si>
    <t>per Acre per year</t>
  </si>
  <si>
    <t>Supervision</t>
  </si>
  <si>
    <t xml:space="preserve"> in % of labour &amp; material</t>
  </si>
  <si>
    <t>Transportation of inputs</t>
  </si>
  <si>
    <t>Trip</t>
  </si>
  <si>
    <t>Transportation to market</t>
  </si>
  <si>
    <t>lb</t>
  </si>
  <si>
    <t>Interest Payments</t>
  </si>
  <si>
    <t>Loan</t>
  </si>
  <si>
    <t>Cost of production/lb</t>
  </si>
  <si>
    <t>Break Even Price</t>
  </si>
  <si>
    <t>Selling price per lb</t>
  </si>
  <si>
    <t>Profit margin</t>
  </si>
  <si>
    <t>Farming Livestock: Product Pricing</t>
  </si>
  <si>
    <t>LAMB</t>
  </si>
  <si>
    <t>Name of product 2:</t>
  </si>
  <si>
    <t>Live Weight (lbs)</t>
  </si>
  <si>
    <t>Carcass Weight (lbs)</t>
  </si>
  <si>
    <t>Finisher Feed</t>
  </si>
  <si>
    <t>Slaughtering &amp; Transport</t>
  </si>
  <si>
    <t>N0.</t>
  </si>
  <si>
    <t>TOTAL PRODUCTION COSTS</t>
  </si>
  <si>
    <t>Costs per Pound (lb)</t>
  </si>
  <si>
    <t>Costs per Pound</t>
  </si>
  <si>
    <t>Expected live weight</t>
  </si>
  <si>
    <t>Carcass Weight</t>
  </si>
  <si>
    <t>Boutique: Product Pricing</t>
  </si>
  <si>
    <t>Step 2: Establish your product price</t>
  </si>
  <si>
    <t>Expected sales quantity in pieces per year:</t>
  </si>
  <si>
    <t>Inventory</t>
  </si>
  <si>
    <t>Average per-item costs</t>
  </si>
  <si>
    <t>Ex-supplier costs</t>
  </si>
  <si>
    <t>Freight to port costs</t>
  </si>
  <si>
    <t>Sea freight costs</t>
  </si>
  <si>
    <t>Insurance</t>
  </si>
  <si>
    <t>Customs Duty</t>
  </si>
  <si>
    <t>Landed value of Inventory</t>
  </si>
  <si>
    <t>Portion in %</t>
  </si>
  <si>
    <t>Markup in %</t>
  </si>
  <si>
    <t>Gross Sales</t>
  </si>
  <si>
    <t>Allowance in %</t>
  </si>
  <si>
    <t>Net Sales</t>
  </si>
  <si>
    <t>High-end items</t>
  </si>
  <si>
    <t>Middle range items</t>
  </si>
  <si>
    <t>Transport</t>
  </si>
  <si>
    <t>Low end items</t>
  </si>
  <si>
    <t>Air fare, taxi fares, per diem, transport from port to store</t>
  </si>
  <si>
    <t>Average per piece</t>
  </si>
  <si>
    <t>Restaurant_Bar</t>
  </si>
  <si>
    <t>Livestock</t>
  </si>
  <si>
    <t>total</t>
  </si>
  <si>
    <t>materialcost1</t>
  </si>
  <si>
    <t>materialcost2</t>
  </si>
  <si>
    <t>materialcost3</t>
  </si>
  <si>
    <t>Name of Product</t>
  </si>
  <si>
    <t>Product Costs</t>
  </si>
  <si>
    <t>Price per unit</t>
  </si>
  <si>
    <t>Name of product/service</t>
  </si>
  <si>
    <t>Product costs</t>
  </si>
  <si>
    <t>Please capture VAT in %</t>
  </si>
  <si>
    <t>Rest to be distributed</t>
  </si>
  <si>
    <t xml:space="preserve">For recalculation please go back to PRODUCT PRICING </t>
  </si>
  <si>
    <t>Forecast First Year: Cash Coming Into And Leaving The Business</t>
  </si>
  <si>
    <t>Sold Units</t>
  </si>
  <si>
    <t>Totals</t>
  </si>
  <si>
    <t>Receipts</t>
  </si>
  <si>
    <t>Cash from sales</t>
  </si>
  <si>
    <t>Cash from your debtors</t>
  </si>
  <si>
    <t>Cash provided by investors or banks</t>
  </si>
  <si>
    <t>Total Receipts (a)</t>
  </si>
  <si>
    <t>Payments</t>
  </si>
  <si>
    <t>Payments to suppliers</t>
  </si>
  <si>
    <t>Shipping /Postages /Delivery</t>
  </si>
  <si>
    <t>Your salary</t>
  </si>
  <si>
    <t>Other salaries</t>
  </si>
  <si>
    <t xml:space="preserve">Rents </t>
  </si>
  <si>
    <t>Gas, Electricity, Oil, water charges</t>
  </si>
  <si>
    <t>Insurances</t>
  </si>
  <si>
    <t>Property &amp; Machinery Investments</t>
  </si>
  <si>
    <t>Property &amp; Machinery Expenses</t>
  </si>
  <si>
    <t>Stationery/Postages/Tel./Travel Exp</t>
  </si>
  <si>
    <t>Lawyer /Accountants /Advertising Fees</t>
  </si>
  <si>
    <t>Loan Repayments</t>
  </si>
  <si>
    <t>Credit Card Payment</t>
  </si>
  <si>
    <t>Bank &amp; Interest Charges</t>
  </si>
  <si>
    <t>Vat or sales Tax</t>
  </si>
  <si>
    <t>Hire Purchase</t>
  </si>
  <si>
    <t>Others</t>
  </si>
  <si>
    <t>Total Payments  (b)</t>
  </si>
  <si>
    <t>Cash coming into the business (a-b)</t>
  </si>
  <si>
    <t>Opening balance</t>
  </si>
  <si>
    <t>Closing  balance</t>
  </si>
  <si>
    <t>Overdraft Facility</t>
  </si>
  <si>
    <t>GoTo Financial Report</t>
  </si>
  <si>
    <t>Fixed Costs p.a.</t>
  </si>
  <si>
    <t>Variable Cost per Unit</t>
  </si>
  <si>
    <t>Revenue per Unit</t>
  </si>
  <si>
    <t>Break-Even Point (Units)</t>
  </si>
  <si>
    <t>DATE:</t>
  </si>
  <si>
    <t>Percentage Change Year 2:</t>
  </si>
  <si>
    <t>Percentage Change Year 3:</t>
  </si>
  <si>
    <t xml:space="preserve">Forecast Income &amp; Expenditure </t>
  </si>
  <si>
    <t>Diff in %</t>
  </si>
  <si>
    <t>Year 3</t>
  </si>
  <si>
    <t>Income</t>
  </si>
  <si>
    <r>
      <t xml:space="preserve">Sales (net of Vat) - </t>
    </r>
    <r>
      <rPr>
        <b/>
        <sz val="10"/>
        <color indexed="12"/>
        <rFont val="Arial"/>
        <family val="2"/>
      </rPr>
      <t>A</t>
    </r>
  </si>
  <si>
    <t>Cost of Sales</t>
  </si>
  <si>
    <t>Cost of Materials/Stock/Purchases</t>
  </si>
  <si>
    <t>Wages (apart from yours and any other Directors)</t>
  </si>
  <si>
    <r>
      <t>Total Cost of Sales -</t>
    </r>
    <r>
      <rPr>
        <b/>
        <sz val="10"/>
        <color indexed="12"/>
        <rFont val="Barclays Serif"/>
      </rPr>
      <t>B</t>
    </r>
  </si>
  <si>
    <t>Gross Profit</t>
  </si>
  <si>
    <t>C = A - B</t>
  </si>
  <si>
    <t>Overheads</t>
  </si>
  <si>
    <t>Yours Salary</t>
  </si>
  <si>
    <t xml:space="preserve">Other Salaries and Wages </t>
  </si>
  <si>
    <t xml:space="preserve">Rent </t>
  </si>
  <si>
    <t>Gas, Electricity,Telephone,Water,  Oil(utilities)</t>
  </si>
  <si>
    <t>Property &amp; Machinery  Expenses</t>
  </si>
  <si>
    <t xml:space="preserve">Stationary /Postage/ Travel Expenses </t>
  </si>
  <si>
    <t>Lawyer / Accountants / Advertising</t>
  </si>
  <si>
    <t>Credit Card  Payments ( 5 % of limits)</t>
  </si>
  <si>
    <t>Depreciation</t>
  </si>
  <si>
    <t>Other  Loan ,hire purchase</t>
  </si>
  <si>
    <t xml:space="preserve">Other Expenses </t>
  </si>
  <si>
    <t xml:space="preserve">Income tax,  Sales tax </t>
  </si>
  <si>
    <r>
      <t>Total Overheads -</t>
    </r>
    <r>
      <rPr>
        <b/>
        <sz val="10"/>
        <color indexed="12"/>
        <rFont val="Barclays Serif"/>
      </rPr>
      <t>D</t>
    </r>
  </si>
  <si>
    <t>Estimated Net Profit</t>
  </si>
  <si>
    <t>(C- D)</t>
  </si>
  <si>
    <t>Quick Figures</t>
  </si>
  <si>
    <t>Current Assets</t>
  </si>
  <si>
    <t>(a)</t>
  </si>
  <si>
    <t xml:space="preserve"> Account Receivables (the amount of money your customers owe you)</t>
  </si>
  <si>
    <t>(b)</t>
  </si>
  <si>
    <t>Inventory and work in progress</t>
  </si>
  <si>
    <t>(c)</t>
  </si>
  <si>
    <t>Any cash you have with Bank (incl. Contingency Fund)</t>
  </si>
  <si>
    <t>(d)</t>
  </si>
  <si>
    <t>Any other current asset (e.g prepayments, investment)</t>
  </si>
  <si>
    <t>Total Current  Assets (a+b+c+d)</t>
  </si>
  <si>
    <t>Current Liabilities</t>
  </si>
  <si>
    <t>(e)</t>
  </si>
  <si>
    <t>Trade Payables (people you owe money to e.g.. your suppliers)</t>
  </si>
  <si>
    <t>(f)</t>
  </si>
  <si>
    <t>Total of all overdraft and loans falling due in 12 months</t>
  </si>
  <si>
    <t>(g)</t>
  </si>
  <si>
    <t>Income Tax owed by the Business (if applicable)</t>
  </si>
  <si>
    <t>(h)</t>
  </si>
  <si>
    <t>Vat or  Sales Tax owed by the Business (if applicable)</t>
  </si>
  <si>
    <t>(i)</t>
  </si>
  <si>
    <t>Any other current liabilities (e.g. accruals)</t>
  </si>
  <si>
    <t>Total Current  Liabilities (e+f+g+h+i)</t>
  </si>
  <si>
    <t>Net Assets  ( current assets less current liabilities)</t>
  </si>
  <si>
    <t xml:space="preserve">Fixed Assets  </t>
  </si>
  <si>
    <t>(J)</t>
  </si>
  <si>
    <t xml:space="preserve">Land and Building </t>
  </si>
  <si>
    <t>(K)</t>
  </si>
  <si>
    <t>Equipment and vehicles</t>
  </si>
  <si>
    <t>(l)</t>
  </si>
  <si>
    <t>Any Other Asset  (machinery , Boat)</t>
  </si>
  <si>
    <t>Total Fixed Assets (j+k+l)</t>
  </si>
  <si>
    <t xml:space="preserve">Other Term Liabilities </t>
  </si>
  <si>
    <t xml:space="preserve">(m) </t>
  </si>
  <si>
    <t xml:space="preserve">Loans over 1 year </t>
  </si>
  <si>
    <t xml:space="preserve">(n) </t>
  </si>
  <si>
    <t xml:space="preserve">Deferred tax </t>
  </si>
  <si>
    <t xml:space="preserve">(o) </t>
  </si>
  <si>
    <t xml:space="preserve">Any Other  term liability </t>
  </si>
  <si>
    <t>Total Other Term Liabilities (m+n+o)</t>
  </si>
  <si>
    <t xml:space="preserve">(Net Tangible Asset  </t>
  </si>
  <si>
    <t>)</t>
  </si>
  <si>
    <t>Capital</t>
  </si>
  <si>
    <t>Retained Earnings</t>
  </si>
  <si>
    <t>Equity</t>
  </si>
  <si>
    <t xml:space="preserve">Caution projected </t>
  </si>
  <si>
    <t xml:space="preserve">Key ratios </t>
  </si>
  <si>
    <t xml:space="preserve">Interest Cover </t>
  </si>
  <si>
    <t>Current Ratio/ Working Capital Ratio</t>
  </si>
  <si>
    <t>Total liabilities to  Effective Net  Worth(debt to equity)</t>
  </si>
  <si>
    <t>Break-Even Point</t>
  </si>
  <si>
    <t>How will you track consumer engagement, excitement, and usage of your product?</t>
  </si>
  <si>
    <t>What activities drive your product usage?</t>
  </si>
  <si>
    <r>
      <t>H</t>
    </r>
    <r>
      <rPr>
        <sz val="12"/>
        <color rgb="FFFF0000"/>
        <rFont val="Calibri"/>
        <family val="2"/>
        <scheme val="minor"/>
      </rPr>
      <t>ow will you track metrics that focuses on your climate resilience efforts? (e.g. how much energy is saved due to use of energy saving techniques, customer feedback on environomental efforts)</t>
    </r>
  </si>
  <si>
    <t>Business Plan for</t>
  </si>
  <si>
    <t>Address:</t>
  </si>
  <si>
    <t>Phone:</t>
  </si>
  <si>
    <t>Email:</t>
  </si>
  <si>
    <t>Management Summary</t>
  </si>
  <si>
    <t>Vision</t>
  </si>
  <si>
    <t>Business Overview / Mission</t>
  </si>
  <si>
    <t>Management (Experience, Education, etc.)</t>
  </si>
  <si>
    <t>Please show here a few pictures about your offering</t>
  </si>
  <si>
    <t>Value Proposition</t>
  </si>
  <si>
    <t>Investments</t>
  </si>
  <si>
    <t>Financials / Forecast</t>
  </si>
  <si>
    <t>Attachements 3 Years Financial Planning and First Year Cash Flow Planning</t>
  </si>
  <si>
    <t>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</si>
</sst>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quot;$&quot;#,##0_);[Red]\(&quot;$&quot;#,##0\)"/>
    <numFmt numFmtId="165" formatCode="[$-409]d\-mmm\-yyyy;@"/>
    <numFmt numFmtId="166" formatCode="&quot;$&quot;#,##0"/>
    <numFmt numFmtId="167" formatCode="dd/mm/yy;@"/>
    <numFmt numFmtId="168" formatCode="&quot;$&quot;#,##0.00"/>
    <numFmt numFmtId="169" formatCode="0.0%"/>
    <numFmt numFmtId="170" formatCode="#,##0;[Red]#,##0"/>
    <numFmt numFmtId="171" formatCode="#,##0.0"/>
    <numFmt numFmtId="172" formatCode="[$$-2C09]#,##0.00"/>
    <numFmt numFmtId="173" formatCode="[$$-2C09]#,##0"/>
    <numFmt numFmtId="174" formatCode="[$$-2C09]#,##0.00;[Red][$$-2C09]#,##0.00"/>
    <numFmt numFmtId="175" formatCode="mmmm"/>
    <numFmt numFmtId="176" formatCode="[$]dd/mm/yyyy;@" x16r2:formatCode16="[$-en-LC,1]dd/mm/yyyy;@"/>
  </numFmts>
  <fonts count="104">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5A5A5A"/>
      <name val="Arial"/>
      <family val="2"/>
    </font>
    <font>
      <b/>
      <sz val="28"/>
      <color rgb="FF5A5A5A"/>
      <name val="Arial"/>
      <family val="2"/>
    </font>
    <font>
      <i/>
      <sz val="12"/>
      <color rgb="FF5A5A5A"/>
      <name val="Arial"/>
      <family val="2"/>
    </font>
    <font>
      <sz val="16"/>
      <color rgb="FF5A5A5A"/>
      <name val="Arial"/>
      <family val="2"/>
    </font>
    <font>
      <u/>
      <sz val="12"/>
      <color theme="10"/>
      <name val="Calibri"/>
      <family val="2"/>
      <scheme val="minor"/>
    </font>
    <font>
      <b/>
      <sz val="18"/>
      <color rgb="FF5A5A5A"/>
      <name val="Arial"/>
      <family val="2"/>
    </font>
    <font>
      <sz val="12"/>
      <color theme="1" tint="0.499984740745262"/>
      <name val="Arial"/>
      <family val="2"/>
    </font>
    <font>
      <sz val="12"/>
      <color theme="1" tint="0.499984740745262"/>
      <name val="Calibri"/>
      <family val="2"/>
      <scheme val="minor"/>
    </font>
    <font>
      <sz val="9"/>
      <color indexed="81"/>
      <name val="Calibri"/>
      <family val="2"/>
    </font>
    <font>
      <b/>
      <u/>
      <sz val="18"/>
      <color theme="10"/>
      <name val="Calibri"/>
      <family val="2"/>
      <scheme val="minor"/>
    </font>
    <font>
      <b/>
      <sz val="12"/>
      <color theme="1"/>
      <name val="Calibri"/>
      <family val="2"/>
      <scheme val="minor"/>
    </font>
    <font>
      <b/>
      <u/>
      <sz val="12"/>
      <color theme="1"/>
      <name val="Calibri"/>
      <family val="2"/>
      <scheme val="minor"/>
    </font>
    <font>
      <b/>
      <sz val="18"/>
      <color theme="0"/>
      <name val="Arial"/>
      <family val="2"/>
    </font>
    <font>
      <sz val="22"/>
      <name val="Arial"/>
      <family val="2"/>
    </font>
    <font>
      <sz val="22"/>
      <name val="Calibri"/>
      <family val="2"/>
      <scheme val="minor"/>
    </font>
    <font>
      <sz val="18"/>
      <color rgb="FF5A5A5A"/>
      <name val="Arial"/>
      <family val="2"/>
    </font>
    <font>
      <sz val="18"/>
      <color theme="0"/>
      <name val="Arial"/>
      <family val="2"/>
    </font>
    <font>
      <sz val="12"/>
      <color theme="0"/>
      <name val="Calibri"/>
      <family val="2"/>
      <scheme val="minor"/>
    </font>
    <font>
      <sz val="10"/>
      <name val="Arial"/>
      <family val="2"/>
    </font>
    <font>
      <b/>
      <sz val="10"/>
      <name val="Arial"/>
      <family val="2"/>
    </font>
    <font>
      <sz val="10"/>
      <color theme="1"/>
      <name val="Calibri"/>
      <family val="2"/>
      <scheme val="minor"/>
    </font>
    <font>
      <b/>
      <sz val="14"/>
      <color indexed="12"/>
      <name val="Arial"/>
      <family val="2"/>
    </font>
    <font>
      <b/>
      <sz val="12"/>
      <name val="Arial"/>
      <family val="2"/>
    </font>
    <font>
      <sz val="10"/>
      <color indexed="12"/>
      <name val="Arial"/>
      <family val="2"/>
    </font>
    <font>
      <b/>
      <sz val="10"/>
      <color indexed="12"/>
      <name val="Arial"/>
      <family val="2"/>
    </font>
    <font>
      <sz val="10"/>
      <color indexed="12"/>
      <name val="Barclays Serif"/>
      <family val="2"/>
    </font>
    <font>
      <sz val="10"/>
      <name val="Barclays Serif"/>
      <family val="2"/>
    </font>
    <font>
      <sz val="10"/>
      <color indexed="12"/>
      <name val="Barclays Serif"/>
    </font>
    <font>
      <b/>
      <sz val="10"/>
      <color indexed="12"/>
      <name val="Barclays Serif"/>
    </font>
    <font>
      <b/>
      <sz val="10"/>
      <name val="Barclays Serif"/>
      <family val="2"/>
    </font>
    <font>
      <b/>
      <sz val="10"/>
      <color indexed="12"/>
      <name val="Barclays Serif"/>
      <family val="2"/>
    </font>
    <font>
      <b/>
      <sz val="10"/>
      <color theme="1"/>
      <name val="Calibri"/>
      <family val="2"/>
      <scheme val="minor"/>
    </font>
    <font>
      <b/>
      <sz val="16"/>
      <color indexed="12"/>
      <name val="Arial"/>
      <family val="2"/>
    </font>
    <font>
      <b/>
      <sz val="18"/>
      <color theme="1"/>
      <name val="Calibri"/>
      <family val="2"/>
      <scheme val="minor"/>
    </font>
    <font>
      <sz val="9"/>
      <color indexed="81"/>
      <name val="Tahoma"/>
      <family val="2"/>
    </font>
    <font>
      <b/>
      <sz val="9"/>
      <color indexed="81"/>
      <name val="Tahoma"/>
      <family val="2"/>
    </font>
    <font>
      <b/>
      <sz val="14"/>
      <color theme="1"/>
      <name val="Calibri"/>
      <family val="2"/>
      <scheme val="minor"/>
    </font>
    <font>
      <b/>
      <sz val="16"/>
      <color theme="1"/>
      <name val="Calibri"/>
      <family val="2"/>
      <scheme val="minor"/>
    </font>
    <font>
      <b/>
      <sz val="12"/>
      <color rgb="FFFF0000"/>
      <name val="Calibri"/>
      <family val="2"/>
      <scheme val="minor"/>
    </font>
    <font>
      <sz val="20"/>
      <color theme="4" tint="0.39997558519241921"/>
      <name val="Calibri"/>
      <family val="2"/>
      <scheme val="minor"/>
    </font>
    <font>
      <sz val="10"/>
      <color indexed="81"/>
      <name val="Tahoma"/>
      <family val="2"/>
    </font>
    <font>
      <u/>
      <sz val="18"/>
      <color theme="10"/>
      <name val="Calibri"/>
      <family val="2"/>
      <scheme val="minor"/>
    </font>
    <font>
      <sz val="14"/>
      <color indexed="81"/>
      <name val="Tahoma"/>
      <family val="2"/>
    </font>
    <font>
      <b/>
      <sz val="14"/>
      <color indexed="81"/>
      <name val="Tahoma"/>
      <family val="2"/>
    </font>
    <font>
      <b/>
      <sz val="12"/>
      <color rgb="FF5A5A5A"/>
      <name val="Arial"/>
      <family val="2"/>
    </font>
    <font>
      <sz val="12"/>
      <color indexed="81"/>
      <name val="Arial"/>
      <family val="2"/>
    </font>
    <font>
      <sz val="14"/>
      <color indexed="81"/>
      <name val="Arial"/>
      <family val="2"/>
    </font>
    <font>
      <b/>
      <sz val="14"/>
      <color indexed="81"/>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2"/>
      <color theme="1"/>
      <name val="Arial"/>
      <family val="2"/>
    </font>
    <font>
      <sz val="11"/>
      <color theme="4" tint="-0.499984740745262"/>
      <name val="Arial"/>
      <family val="2"/>
    </font>
    <font>
      <sz val="10"/>
      <color theme="4" tint="-0.499984740745262"/>
      <name val="Arial"/>
      <family val="2"/>
    </font>
    <font>
      <sz val="9"/>
      <color theme="4" tint="-0.499984740745262"/>
      <name val="Arial"/>
      <family val="2"/>
    </font>
    <font>
      <sz val="10"/>
      <color theme="4"/>
      <name val="Arial"/>
      <family val="2"/>
    </font>
    <font>
      <b/>
      <sz val="15"/>
      <color theme="3"/>
      <name val="Arial"/>
      <family val="2"/>
    </font>
    <font>
      <b/>
      <sz val="9"/>
      <color theme="4" tint="-0.499984740745262"/>
      <name val="Arial"/>
      <family val="2"/>
    </font>
    <font>
      <b/>
      <sz val="10"/>
      <color theme="1" tint="0.34998626667073579"/>
      <name val="Arial"/>
      <family val="2"/>
    </font>
    <font>
      <sz val="12"/>
      <color theme="1" tint="0.34998626667073579"/>
      <name val="Arial"/>
      <family val="2"/>
    </font>
    <font>
      <b/>
      <sz val="12"/>
      <color theme="1" tint="0.34998626667073579"/>
      <name val="Arial"/>
      <family val="2"/>
    </font>
    <font>
      <b/>
      <sz val="12"/>
      <color theme="4" tint="-0.499984740745262"/>
      <name val="Arial"/>
      <family val="2"/>
    </font>
    <font>
      <i/>
      <sz val="16"/>
      <color theme="0" tint="-0.34998626667073579"/>
      <name val="Calibri"/>
      <family val="2"/>
      <scheme val="minor"/>
    </font>
    <font>
      <sz val="8"/>
      <name val="Calibri"/>
      <family val="2"/>
      <scheme val="minor"/>
    </font>
    <font>
      <b/>
      <sz val="7"/>
      <color indexed="12"/>
      <name val="Arial"/>
      <family val="2"/>
    </font>
    <font>
      <sz val="7"/>
      <name val="Arial"/>
      <family val="2"/>
    </font>
    <font>
      <sz val="7"/>
      <color theme="1"/>
      <name val="Calibri"/>
      <family val="2"/>
      <scheme val="minor"/>
    </font>
    <font>
      <sz val="10"/>
      <color theme="0" tint="-4.9989318521683403E-2"/>
      <name val="Calibri"/>
      <family val="2"/>
      <scheme val="minor"/>
    </font>
    <font>
      <sz val="11"/>
      <color theme="0" tint="-4.9989318521683403E-2"/>
      <name val="Calibri"/>
      <family val="2"/>
      <scheme val="minor"/>
    </font>
    <font>
      <b/>
      <sz val="7"/>
      <color rgb="FF00B050"/>
      <name val="Arial"/>
      <family val="2"/>
    </font>
    <font>
      <b/>
      <u/>
      <sz val="16"/>
      <color theme="1"/>
      <name val="Arial"/>
      <family val="2"/>
    </font>
    <font>
      <sz val="20"/>
      <name val="Arial"/>
      <family val="2"/>
    </font>
    <font>
      <b/>
      <sz val="12"/>
      <color theme="1"/>
      <name val="Arial"/>
      <family val="2"/>
    </font>
    <font>
      <sz val="12"/>
      <name val="Arial"/>
      <family val="2"/>
    </font>
    <font>
      <b/>
      <u/>
      <sz val="12"/>
      <name val="Arial"/>
      <family val="2"/>
    </font>
    <font>
      <b/>
      <sz val="12"/>
      <color indexed="10"/>
      <name val="Arial"/>
      <family val="2"/>
    </font>
    <font>
      <u/>
      <sz val="12"/>
      <name val="Arial"/>
      <family val="2"/>
    </font>
    <font>
      <b/>
      <i/>
      <sz val="11"/>
      <color theme="1"/>
      <name val="Arial"/>
      <family val="2"/>
    </font>
    <font>
      <b/>
      <u/>
      <sz val="12"/>
      <color indexed="10"/>
      <name val="Arial"/>
      <family val="2"/>
    </font>
    <font>
      <b/>
      <sz val="11"/>
      <color theme="1"/>
      <name val="Arial"/>
      <family val="2"/>
    </font>
    <font>
      <b/>
      <sz val="14"/>
      <color theme="1"/>
      <name val="Arial"/>
      <family val="2"/>
    </font>
    <font>
      <sz val="11"/>
      <color theme="1"/>
      <name val="Arial"/>
      <family val="2"/>
    </font>
    <font>
      <b/>
      <u/>
      <sz val="12"/>
      <color theme="1"/>
      <name val="Arial"/>
      <family val="2"/>
    </font>
    <font>
      <b/>
      <i/>
      <sz val="14"/>
      <color theme="1"/>
      <name val="Arial"/>
      <family val="2"/>
    </font>
    <font>
      <b/>
      <sz val="24"/>
      <color theme="1"/>
      <name val="Arial"/>
      <family val="2"/>
    </font>
    <font>
      <sz val="14"/>
      <color theme="1"/>
      <name val="Arial"/>
      <family val="2"/>
    </font>
    <font>
      <sz val="12"/>
      <color rgb="FFFF0000"/>
      <name val="Calibri"/>
      <family val="2"/>
      <scheme val="minor"/>
    </font>
    <font>
      <sz val="11"/>
      <color rgb="FF000000"/>
      <name val="Calibri"/>
      <family val="2"/>
      <scheme val="minor"/>
    </font>
    <font>
      <u/>
      <sz val="14"/>
      <color theme="10"/>
      <name val="Calibri"/>
      <family val="2"/>
      <scheme val="minor"/>
    </font>
    <font>
      <sz val="14"/>
      <color theme="1"/>
      <name val="Calibri"/>
      <family val="2"/>
      <scheme val="minor"/>
    </font>
    <font>
      <b/>
      <u/>
      <sz val="20"/>
      <color theme="10"/>
      <name val="Calibri"/>
      <family val="2"/>
      <scheme val="minor"/>
    </font>
    <font>
      <sz val="14"/>
      <color indexed="81"/>
      <name val="Calibri"/>
      <family val="2"/>
    </font>
    <font>
      <b/>
      <sz val="14"/>
      <color indexed="81"/>
      <name val="Calibri"/>
      <family val="2"/>
    </font>
    <font>
      <sz val="14"/>
      <color rgb="FF5A5A5A"/>
      <name val="Arial"/>
      <family val="2"/>
    </font>
    <font>
      <sz val="11"/>
      <color rgb="FFFF0000"/>
      <name val="Calibri"/>
      <family val="2"/>
      <scheme val="minor"/>
    </font>
    <font>
      <sz val="11"/>
      <color theme="0"/>
      <name val="Calibri"/>
      <family val="2"/>
      <scheme val="minor"/>
    </font>
    <font>
      <sz val="12"/>
      <name val="Calibri"/>
      <family val="2"/>
      <scheme val="minor"/>
    </font>
    <font>
      <b/>
      <sz val="22"/>
      <color rgb="FFFF0000"/>
      <name val="Arial"/>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000000"/>
      </patternFill>
    </fill>
    <fill>
      <patternFill patternType="solid">
        <fgColor theme="6"/>
        <bgColor indexed="64"/>
      </patternFill>
    </fill>
    <fill>
      <patternFill patternType="solid">
        <fgColor rgb="FFCC9933"/>
        <bgColor indexed="64"/>
      </patternFill>
    </fill>
    <fill>
      <patternFill patternType="solid">
        <fgColor rgb="FFFF0000"/>
        <bgColor indexed="64"/>
      </patternFill>
    </fill>
    <fill>
      <patternFill patternType="solid">
        <fgColor theme="4"/>
        <bgColor indexed="64"/>
      </patternFill>
    </fill>
    <fill>
      <patternFill patternType="solid">
        <fgColor theme="7" tint="0.599963377788628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s>
  <borders count="88">
    <border>
      <left/>
      <right/>
      <top/>
      <bottom/>
      <diagonal/>
    </border>
    <border>
      <left style="thin">
        <color rgb="FF5A5A5A"/>
      </left>
      <right/>
      <top style="thin">
        <color rgb="FF5A5A5A"/>
      </top>
      <bottom/>
      <diagonal/>
    </border>
    <border>
      <left/>
      <right/>
      <top style="thin">
        <color rgb="FF5A5A5A"/>
      </top>
      <bottom/>
      <diagonal/>
    </border>
    <border>
      <left/>
      <right style="thin">
        <color rgb="FF5A5A5A"/>
      </right>
      <top style="thin">
        <color rgb="FF5A5A5A"/>
      </top>
      <bottom/>
      <diagonal/>
    </border>
    <border>
      <left style="thin">
        <color rgb="FF5A5A5A"/>
      </left>
      <right/>
      <top/>
      <bottom/>
      <diagonal/>
    </border>
    <border>
      <left/>
      <right style="thin">
        <color rgb="FF5A5A5A"/>
      </right>
      <top/>
      <bottom/>
      <diagonal/>
    </border>
    <border>
      <left style="thin">
        <color rgb="FF5A5A5A"/>
      </left>
      <right/>
      <top/>
      <bottom style="thin">
        <color rgb="FF5A5A5A"/>
      </bottom>
      <diagonal/>
    </border>
    <border>
      <left/>
      <right/>
      <top/>
      <bottom style="thin">
        <color rgb="FF5A5A5A"/>
      </bottom>
      <diagonal/>
    </border>
    <border>
      <left/>
      <right style="thin">
        <color rgb="FF5A5A5A"/>
      </right>
      <top/>
      <bottom style="thin">
        <color rgb="FF5A5A5A"/>
      </bottom>
      <diagonal/>
    </border>
    <border>
      <left style="thin">
        <color rgb="FF5A5A5A"/>
      </left>
      <right/>
      <top/>
      <bottom style="thin">
        <color indexed="64"/>
      </bottom>
      <diagonal/>
    </border>
    <border>
      <left/>
      <right/>
      <top/>
      <bottom style="thin">
        <color indexed="64"/>
      </bottom>
      <diagonal/>
    </border>
    <border>
      <left/>
      <right style="thin">
        <color rgb="FF5A5A5A"/>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64"/>
      </right>
      <top/>
      <bottom/>
      <diagonal/>
    </border>
    <border>
      <left style="thin">
        <color indexed="8"/>
      </left>
      <right/>
      <top/>
      <bottom/>
      <diagonal/>
    </border>
    <border>
      <left style="thin">
        <color indexed="8"/>
      </left>
      <right/>
      <top/>
      <bottom style="double">
        <color indexed="64"/>
      </bottom>
      <diagonal/>
    </border>
    <border>
      <left style="thin">
        <color indexed="64"/>
      </left>
      <right style="thin">
        <color indexed="8"/>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style="medium">
        <color indexed="64"/>
      </right>
      <top style="medium">
        <color indexed="64"/>
      </top>
      <bottom/>
      <diagonal/>
    </border>
    <border>
      <left style="thick">
        <color indexed="64"/>
      </left>
      <right/>
      <top/>
      <bottom/>
      <diagonal/>
    </border>
    <border>
      <left/>
      <right style="thick">
        <color indexed="64"/>
      </right>
      <top/>
      <bottom/>
      <diagonal/>
    </border>
    <border>
      <left style="medium">
        <color indexed="64"/>
      </left>
      <right style="medium">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auto="1"/>
      </left>
      <right/>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style="hair">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right/>
      <top style="medium">
        <color theme="4" tint="-0.24994659260841701"/>
      </top>
      <bottom/>
      <diagonal/>
    </border>
    <border>
      <left/>
      <right/>
      <top style="dotted">
        <color theme="4" tint="0.59996337778862885"/>
      </top>
      <bottom/>
      <diagonal/>
    </border>
    <border>
      <left style="dotted">
        <color theme="4" tint="0.59996337778862885"/>
      </left>
      <right/>
      <top/>
      <bottom/>
      <diagonal/>
    </border>
    <border>
      <left/>
      <right/>
      <top style="medium">
        <color theme="4" tint="-0.24994659260841701"/>
      </top>
      <bottom style="thick">
        <color theme="4" tint="0.499984740745262"/>
      </bottom>
      <diagonal/>
    </border>
    <border>
      <left/>
      <right/>
      <top/>
      <bottom style="hair">
        <color theme="1" tint="0.34998626667073579"/>
      </bottom>
      <diagonal/>
    </border>
    <border>
      <left/>
      <right/>
      <top style="medium">
        <color theme="4" tint="-0.24994659260841701"/>
      </top>
      <bottom style="thick">
        <color theme="4" tint="0.39991454817346722"/>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style="thin">
        <color indexed="8"/>
      </top>
      <bottom/>
      <diagonal/>
    </border>
    <border>
      <left/>
      <right/>
      <top style="thin">
        <color indexed="8"/>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top style="thin">
        <color indexed="8"/>
      </top>
      <bottom style="double">
        <color indexed="64"/>
      </bottom>
      <diagonal/>
    </border>
    <border>
      <left/>
      <right/>
      <top style="thin">
        <color indexed="8"/>
      </top>
      <bottom style="double">
        <color indexed="64"/>
      </bottom>
      <diagonal/>
    </border>
    <border>
      <left style="thin">
        <color indexed="64"/>
      </left>
      <right style="thin">
        <color indexed="64"/>
      </right>
      <top style="thin">
        <color indexed="8"/>
      </top>
      <bottom style="double">
        <color indexed="64"/>
      </bottom>
      <diagonal/>
    </border>
    <border>
      <left style="thin">
        <color indexed="64"/>
      </left>
      <right/>
      <top style="thin">
        <color indexed="64"/>
      </top>
      <bottom/>
      <diagonal/>
    </border>
    <border>
      <left/>
      <right/>
      <top style="thin">
        <color indexed="64"/>
      </top>
      <bottom/>
      <diagonal/>
    </border>
  </borders>
  <cellStyleXfs count="9">
    <xf numFmtId="0" fontId="0" fillId="0" borderId="0"/>
    <xf numFmtId="0" fontId="9" fillId="0" borderId="0" applyNumberFormat="0" applyFill="0" applyBorder="0" applyAlignment="0" applyProtection="0"/>
    <xf numFmtId="0" fontId="4" fillId="0" borderId="0"/>
    <xf numFmtId="0" fontId="53" fillId="0" borderId="56" applyNumberFormat="0" applyFill="0" applyAlignment="0" applyProtection="0"/>
    <xf numFmtId="0" fontId="54" fillId="0" borderId="57" applyNumberFormat="0" applyFill="0" applyAlignment="0" applyProtection="0"/>
    <xf numFmtId="0" fontId="55" fillId="0" borderId="0" applyNumberFormat="0" applyFill="0" applyBorder="0" applyAlignment="0" applyProtection="0"/>
    <xf numFmtId="0" fontId="3" fillId="0" borderId="0"/>
    <xf numFmtId="0" fontId="23" fillId="0" borderId="0"/>
    <xf numFmtId="0" fontId="2" fillId="0" borderId="0"/>
  </cellStyleXfs>
  <cellXfs count="732">
    <xf numFmtId="0" fontId="0" fillId="0" borderId="0" xfId="0"/>
    <xf numFmtId="0" fontId="5" fillId="2" borderId="0" xfId="0" applyFont="1" applyFill="1"/>
    <xf numFmtId="0" fontId="7" fillId="2" borderId="0" xfId="0" applyFont="1" applyFill="1"/>
    <xf numFmtId="0" fontId="5" fillId="4" borderId="0" xfId="0" applyFont="1" applyFill="1"/>
    <xf numFmtId="0" fontId="4" fillId="2" borderId="17" xfId="2" applyFill="1" applyBorder="1"/>
    <xf numFmtId="0" fontId="23" fillId="2" borderId="18" xfId="2" applyFont="1" applyFill="1" applyBorder="1"/>
    <xf numFmtId="0" fontId="24" fillId="2" borderId="0" xfId="2" applyFont="1" applyFill="1" applyAlignment="1">
      <alignment vertical="center"/>
    </xf>
    <xf numFmtId="0" fontId="4" fillId="2" borderId="19" xfId="2" applyFill="1" applyBorder="1"/>
    <xf numFmtId="0" fontId="25" fillId="2" borderId="0" xfId="2" applyFont="1" applyFill="1" applyAlignment="1">
      <alignment horizontal="center" vertical="center"/>
    </xf>
    <xf numFmtId="0" fontId="4" fillId="2" borderId="0" xfId="2" applyFill="1"/>
    <xf numFmtId="0" fontId="4" fillId="2" borderId="20" xfId="2" applyFill="1" applyBorder="1"/>
    <xf numFmtId="0" fontId="4" fillId="2" borderId="24" xfId="2" applyFill="1" applyBorder="1"/>
    <xf numFmtId="0" fontId="23" fillId="2" borderId="0" xfId="2" applyFont="1" applyFill="1" applyAlignment="1">
      <alignment vertical="center"/>
    </xf>
    <xf numFmtId="0" fontId="24" fillId="2" borderId="25" xfId="2" applyFont="1" applyFill="1" applyBorder="1" applyAlignment="1">
      <alignment horizontal="center" vertical="center"/>
    </xf>
    <xf numFmtId="0" fontId="24" fillId="2" borderId="13" xfId="2" applyFont="1" applyFill="1" applyBorder="1" applyAlignment="1">
      <alignment horizontal="center" vertical="center"/>
    </xf>
    <xf numFmtId="0" fontId="23" fillId="2" borderId="27" xfId="2" applyFont="1" applyFill="1" applyBorder="1" applyAlignment="1">
      <alignment vertical="center"/>
    </xf>
    <xf numFmtId="0" fontId="27" fillId="2" borderId="24" xfId="2" applyFont="1" applyFill="1" applyBorder="1"/>
    <xf numFmtId="9" fontId="25" fillId="2" borderId="16" xfId="2" applyNumberFormat="1" applyFont="1" applyFill="1" applyBorder="1" applyAlignment="1">
      <alignment horizontal="center" vertical="center"/>
    </xf>
    <xf numFmtId="9" fontId="25" fillId="2" borderId="0" xfId="2" applyNumberFormat="1" applyFont="1" applyFill="1" applyAlignment="1">
      <alignment horizontal="center" vertical="center"/>
    </xf>
    <xf numFmtId="0" fontId="30" fillId="2" borderId="21" xfId="2" applyFont="1" applyFill="1" applyBorder="1" applyAlignment="1">
      <alignment vertical="center"/>
    </xf>
    <xf numFmtId="166" fontId="23" fillId="2" borderId="16" xfId="2" applyNumberFormat="1" applyFont="1" applyFill="1" applyBorder="1" applyAlignment="1" applyProtection="1">
      <alignment vertical="center"/>
      <protection locked="0"/>
    </xf>
    <xf numFmtId="0" fontId="31" fillId="2" borderId="13" xfId="2" applyFont="1" applyFill="1" applyBorder="1" applyAlignment="1">
      <alignment vertical="center"/>
    </xf>
    <xf numFmtId="0" fontId="32" fillId="2" borderId="0" xfId="2" applyFont="1" applyFill="1" applyAlignment="1">
      <alignment vertical="center"/>
    </xf>
    <xf numFmtId="0" fontId="32" fillId="2" borderId="21" xfId="2" applyFont="1" applyFill="1" applyBorder="1" applyAlignment="1">
      <alignment vertical="center"/>
    </xf>
    <xf numFmtId="166" fontId="23" fillId="2" borderId="27" xfId="2" applyNumberFormat="1" applyFont="1" applyFill="1" applyBorder="1" applyAlignment="1">
      <alignment vertical="center"/>
    </xf>
    <xf numFmtId="0" fontId="23" fillId="2" borderId="0" xfId="2" applyFont="1" applyFill="1"/>
    <xf numFmtId="0" fontId="32" fillId="2" borderId="16" xfId="2" applyFont="1" applyFill="1" applyBorder="1" applyAlignment="1">
      <alignment vertical="center"/>
    </xf>
    <xf numFmtId="166" fontId="24" fillId="2" borderId="0" xfId="2" applyNumberFormat="1" applyFont="1" applyFill="1" applyAlignment="1">
      <alignment vertical="center"/>
    </xf>
    <xf numFmtId="0" fontId="24" fillId="2" borderId="12" xfId="2" applyFont="1" applyFill="1" applyBorder="1" applyAlignment="1">
      <alignment horizontal="center" vertical="center"/>
    </xf>
    <xf numFmtId="14" fontId="24" fillId="2" borderId="26" xfId="2" applyNumberFormat="1" applyFont="1" applyFill="1" applyBorder="1" applyAlignment="1">
      <alignment horizontal="center" vertical="center"/>
    </xf>
    <xf numFmtId="0" fontId="24" fillId="2" borderId="12" xfId="2" applyFont="1" applyFill="1" applyBorder="1" applyAlignment="1">
      <alignment horizontal="right" vertical="center"/>
    </xf>
    <xf numFmtId="0" fontId="32" fillId="2" borderId="16" xfId="2" applyFont="1" applyFill="1" applyBorder="1" applyAlignment="1">
      <alignment horizontal="left" vertical="center" wrapText="1"/>
    </xf>
    <xf numFmtId="0" fontId="32" fillId="2" borderId="13" xfId="2" applyFont="1" applyFill="1" applyBorder="1" applyAlignment="1">
      <alignment horizontal="left" vertical="center"/>
    </xf>
    <xf numFmtId="3" fontId="23" fillId="2" borderId="33" xfId="2" applyNumberFormat="1" applyFont="1" applyFill="1" applyBorder="1" applyAlignment="1">
      <alignment vertical="center"/>
    </xf>
    <xf numFmtId="0" fontId="32" fillId="2" borderId="16" xfId="2" applyFont="1" applyFill="1" applyBorder="1" applyAlignment="1">
      <alignment horizontal="left" vertical="center"/>
    </xf>
    <xf numFmtId="0" fontId="32" fillId="2" borderId="16" xfId="2" applyFont="1" applyFill="1" applyBorder="1" applyAlignment="1">
      <alignment horizontal="left" vertical="top" wrapText="1"/>
    </xf>
    <xf numFmtId="0" fontId="34" fillId="2" borderId="0" xfId="2" applyFont="1" applyFill="1" applyAlignment="1">
      <alignment horizontal="center" vertical="center"/>
    </xf>
    <xf numFmtId="166" fontId="24" fillId="2" borderId="12" xfId="2" applyNumberFormat="1" applyFont="1" applyFill="1" applyBorder="1" applyAlignment="1">
      <alignment vertical="center"/>
    </xf>
    <xf numFmtId="0" fontId="32" fillId="2" borderId="21" xfId="2" applyFont="1" applyFill="1" applyBorder="1" applyAlignment="1">
      <alignment vertical="center" wrapText="1"/>
    </xf>
    <xf numFmtId="2" fontId="23" fillId="2" borderId="12" xfId="2" applyNumberFormat="1" applyFont="1" applyFill="1" applyBorder="1" applyAlignment="1">
      <alignment vertical="center"/>
    </xf>
    <xf numFmtId="0" fontId="4" fillId="2" borderId="0" xfId="2" applyFill="1" applyProtection="1">
      <protection locked="0"/>
    </xf>
    <xf numFmtId="0" fontId="35" fillId="2" borderId="0" xfId="2" applyFont="1" applyFill="1" applyAlignment="1">
      <alignment horizontal="center" vertical="center"/>
    </xf>
    <xf numFmtId="166" fontId="24" fillId="2" borderId="14" xfId="2" applyNumberFormat="1" applyFont="1" applyFill="1" applyBorder="1" applyAlignment="1">
      <alignment vertical="center"/>
    </xf>
    <xf numFmtId="3" fontId="24" fillId="2" borderId="13" xfId="2" applyNumberFormat="1" applyFont="1" applyFill="1" applyBorder="1" applyAlignment="1">
      <alignment vertical="center"/>
    </xf>
    <xf numFmtId="0" fontId="29" fillId="2" borderId="34" xfId="2" applyFont="1" applyFill="1" applyBorder="1" applyAlignment="1">
      <alignment vertical="center"/>
    </xf>
    <xf numFmtId="164" fontId="23" fillId="2" borderId="34" xfId="2" applyNumberFormat="1" applyFont="1" applyFill="1" applyBorder="1" applyAlignment="1">
      <alignment vertical="center"/>
    </xf>
    <xf numFmtId="164" fontId="23" fillId="2" borderId="16" xfId="2" applyNumberFormat="1" applyFont="1" applyFill="1" applyBorder="1" applyAlignment="1">
      <alignment vertical="center"/>
    </xf>
    <xf numFmtId="0" fontId="24" fillId="2" borderId="12" xfId="2" applyFont="1" applyFill="1" applyBorder="1" applyAlignment="1">
      <alignment horizontal="right"/>
    </xf>
    <xf numFmtId="0" fontId="28" fillId="2" borderId="14" xfId="2" applyFont="1" applyFill="1" applyBorder="1" applyAlignment="1">
      <alignment vertical="center"/>
    </xf>
    <xf numFmtId="0" fontId="28" fillId="2" borderId="0" xfId="2" applyFont="1" applyFill="1" applyAlignment="1">
      <alignment vertical="center"/>
    </xf>
    <xf numFmtId="164" fontId="23" fillId="2" borderId="27" xfId="2" applyNumberFormat="1" applyFont="1" applyFill="1" applyBorder="1" applyAlignment="1">
      <alignment vertical="center"/>
    </xf>
    <xf numFmtId="0" fontId="28" fillId="2" borderId="21" xfId="2" applyFont="1" applyFill="1" applyBorder="1" applyAlignment="1">
      <alignment vertical="center"/>
    </xf>
    <xf numFmtId="0" fontId="24" fillId="2" borderId="14" xfId="2" applyFont="1" applyFill="1" applyBorder="1" applyAlignment="1">
      <alignment horizontal="right"/>
    </xf>
    <xf numFmtId="0" fontId="29" fillId="2" borderId="0" xfId="2" applyFont="1" applyFill="1" applyAlignment="1">
      <alignment vertical="center"/>
    </xf>
    <xf numFmtId="164" fontId="23" fillId="2" borderId="0" xfId="2" applyNumberFormat="1" applyFont="1" applyFill="1" applyAlignment="1">
      <alignment vertical="center"/>
    </xf>
    <xf numFmtId="164" fontId="23" fillId="2" borderId="13" xfId="2" applyNumberFormat="1" applyFont="1" applyFill="1" applyBorder="1" applyAlignment="1">
      <alignment vertical="center"/>
    </xf>
    <xf numFmtId="0" fontId="24" fillId="2" borderId="0" xfId="2" applyFont="1" applyFill="1" applyAlignment="1">
      <alignment horizontal="right"/>
    </xf>
    <xf numFmtId="0" fontId="29" fillId="2" borderId="21" xfId="2" applyFont="1" applyFill="1" applyBorder="1" applyAlignment="1">
      <alignment vertical="center"/>
    </xf>
    <xf numFmtId="0" fontId="29" fillId="2" borderId="12" xfId="2" applyFont="1" applyFill="1" applyBorder="1" applyAlignment="1">
      <alignment vertical="center"/>
    </xf>
    <xf numFmtId="0" fontId="29" fillId="2" borderId="16" xfId="2" applyFont="1" applyFill="1" applyBorder="1" applyAlignment="1">
      <alignment vertical="center"/>
    </xf>
    <xf numFmtId="0" fontId="23" fillId="2" borderId="36" xfId="2" applyFont="1" applyFill="1" applyBorder="1"/>
    <xf numFmtId="0" fontId="29" fillId="2" borderId="37" xfId="2" applyFont="1" applyFill="1" applyBorder="1" applyAlignment="1">
      <alignment vertical="center"/>
    </xf>
    <xf numFmtId="164" fontId="23" fillId="2" borderId="37" xfId="2" applyNumberFormat="1" applyFont="1" applyFill="1" applyBorder="1" applyAlignment="1">
      <alignment vertical="center"/>
    </xf>
    <xf numFmtId="0" fontId="23" fillId="2" borderId="37" xfId="2" applyFont="1" applyFill="1" applyBorder="1" applyAlignment="1">
      <alignment vertical="center"/>
    </xf>
    <xf numFmtId="164" fontId="23" fillId="2" borderId="38" xfId="2" applyNumberFormat="1" applyFont="1" applyFill="1" applyBorder="1" applyAlignment="1">
      <alignment vertical="center"/>
    </xf>
    <xf numFmtId="9" fontId="25" fillId="2" borderId="39" xfId="2" applyNumberFormat="1" applyFont="1" applyFill="1" applyBorder="1" applyAlignment="1">
      <alignment horizontal="center" vertical="center"/>
    </xf>
    <xf numFmtId="0" fontId="23" fillId="2" borderId="40" xfId="2" applyFont="1" applyFill="1" applyBorder="1" applyAlignment="1">
      <alignment vertical="center"/>
    </xf>
    <xf numFmtId="9" fontId="36" fillId="2" borderId="42" xfId="2" applyNumberFormat="1" applyFont="1" applyFill="1" applyBorder="1" applyAlignment="1">
      <alignment horizontal="center" vertical="center"/>
    </xf>
    <xf numFmtId="0" fontId="27" fillId="2" borderId="20" xfId="2" applyFont="1" applyFill="1" applyBorder="1"/>
    <xf numFmtId="2" fontId="23" fillId="2" borderId="0" xfId="2" applyNumberFormat="1" applyFont="1" applyFill="1" applyAlignment="1">
      <alignment horizontal="center" vertical="center"/>
    </xf>
    <xf numFmtId="2" fontId="23" fillId="2" borderId="41" xfId="2" applyNumberFormat="1" applyFont="1" applyFill="1" applyBorder="1" applyAlignment="1">
      <alignment horizontal="center" vertical="center"/>
    </xf>
    <xf numFmtId="9" fontId="25" fillId="2" borderId="42" xfId="2" applyNumberFormat="1" applyFont="1" applyFill="1" applyBorder="1" applyAlignment="1">
      <alignment horizontal="center" vertical="center"/>
    </xf>
    <xf numFmtId="0" fontId="23" fillId="2" borderId="43" xfId="2" applyFont="1" applyFill="1" applyBorder="1" applyAlignment="1">
      <alignment vertical="center"/>
    </xf>
    <xf numFmtId="0" fontId="29" fillId="2" borderId="44" xfId="2" applyFont="1" applyFill="1" applyBorder="1" applyAlignment="1">
      <alignment vertical="center"/>
    </xf>
    <xf numFmtId="0" fontId="23" fillId="2" borderId="44" xfId="2" applyFont="1" applyFill="1" applyBorder="1" applyAlignment="1">
      <alignment vertical="center"/>
    </xf>
    <xf numFmtId="164" fontId="23" fillId="2" borderId="45" xfId="2" applyNumberFormat="1" applyFont="1" applyFill="1" applyBorder="1" applyAlignment="1">
      <alignment vertical="center"/>
    </xf>
    <xf numFmtId="0" fontId="25" fillId="2" borderId="46" xfId="2" applyFont="1" applyFill="1" applyBorder="1" applyAlignment="1">
      <alignment horizontal="center" vertical="center"/>
    </xf>
    <xf numFmtId="0" fontId="4" fillId="2" borderId="47" xfId="2" applyFill="1" applyBorder="1"/>
    <xf numFmtId="0" fontId="23" fillId="2" borderId="48" xfId="2" applyFont="1" applyFill="1" applyBorder="1"/>
    <xf numFmtId="0" fontId="4" fillId="2" borderId="49" xfId="2" applyFill="1" applyBorder="1"/>
    <xf numFmtId="0" fontId="4" fillId="0" borderId="0" xfId="2"/>
    <xf numFmtId="0" fontId="23" fillId="0" borderId="0" xfId="2" applyFont="1"/>
    <xf numFmtId="0" fontId="23" fillId="2" borderId="20" xfId="2" applyFont="1" applyFill="1" applyBorder="1" applyAlignment="1">
      <alignment vertical="center"/>
    </xf>
    <xf numFmtId="0" fontId="23" fillId="2" borderId="24" xfId="2" applyFont="1" applyFill="1" applyBorder="1" applyAlignment="1">
      <alignment vertical="center"/>
    </xf>
    <xf numFmtId="0" fontId="24" fillId="0" borderId="16" xfId="2" applyFont="1" applyBorder="1" applyAlignment="1">
      <alignment vertical="center"/>
    </xf>
    <xf numFmtId="0" fontId="28" fillId="0" borderId="16" xfId="2" applyFont="1" applyBorder="1" applyAlignment="1">
      <alignment vertical="center"/>
    </xf>
    <xf numFmtId="0" fontId="24" fillId="0" borderId="50" xfId="2" applyFont="1" applyBorder="1" applyAlignment="1">
      <alignment vertical="center"/>
    </xf>
    <xf numFmtId="0" fontId="23" fillId="0" borderId="28" xfId="2" applyFont="1" applyBorder="1" applyAlignment="1">
      <alignment vertical="center"/>
    </xf>
    <xf numFmtId="0" fontId="23" fillId="0" borderId="16" xfId="2" applyFont="1" applyBorder="1" applyAlignment="1">
      <alignment vertical="center"/>
    </xf>
    <xf numFmtId="0" fontId="4" fillId="2" borderId="48" xfId="2" applyFill="1" applyBorder="1"/>
    <xf numFmtId="2" fontId="23" fillId="2" borderId="27" xfId="2" applyNumberFormat="1" applyFont="1" applyFill="1" applyBorder="1" applyAlignment="1">
      <alignment vertical="center"/>
    </xf>
    <xf numFmtId="166" fontId="23" fillId="2" borderId="16" xfId="2" applyNumberFormat="1" applyFont="1" applyFill="1" applyBorder="1" applyAlignment="1">
      <alignment vertical="center"/>
    </xf>
    <xf numFmtId="3" fontId="23" fillId="2" borderId="27" xfId="2" applyNumberFormat="1" applyFont="1" applyFill="1" applyBorder="1" applyAlignment="1">
      <alignment vertical="center"/>
    </xf>
    <xf numFmtId="166" fontId="24" fillId="2" borderId="16" xfId="2" applyNumberFormat="1" applyFont="1" applyFill="1" applyBorder="1" applyAlignment="1">
      <alignment vertical="center"/>
    </xf>
    <xf numFmtId="166" fontId="23" fillId="2" borderId="28" xfId="2" applyNumberFormat="1" applyFont="1" applyFill="1" applyBorder="1" applyAlignment="1">
      <alignment vertical="center"/>
    </xf>
    <xf numFmtId="166" fontId="24" fillId="2" borderId="27" xfId="2" applyNumberFormat="1" applyFont="1" applyFill="1" applyBorder="1" applyAlignment="1">
      <alignment vertical="center"/>
    </xf>
    <xf numFmtId="3" fontId="24" fillId="2" borderId="28" xfId="2" applyNumberFormat="1" applyFont="1" applyFill="1" applyBorder="1" applyAlignment="1">
      <alignment vertical="center"/>
    </xf>
    <xf numFmtId="0" fontId="0" fillId="3" borderId="0" xfId="0" applyFill="1"/>
    <xf numFmtId="0" fontId="16" fillId="3" borderId="0" xfId="0" applyFont="1" applyFill="1"/>
    <xf numFmtId="0" fontId="0" fillId="0" borderId="16" xfId="0" applyBorder="1" applyAlignment="1" applyProtection="1">
      <alignment horizontal="left" vertical="top" wrapText="1"/>
      <protection locked="0"/>
    </xf>
    <xf numFmtId="0" fontId="0" fillId="0" borderId="16" xfId="0" applyBorder="1"/>
    <xf numFmtId="0" fontId="38" fillId="0" borderId="16" xfId="0" applyFont="1" applyBorder="1" applyAlignment="1">
      <alignment horizontal="center" vertical="center"/>
    </xf>
    <xf numFmtId="0" fontId="16" fillId="0" borderId="16" xfId="0" applyFont="1" applyBorder="1"/>
    <xf numFmtId="0" fontId="0" fillId="0" borderId="16" xfId="0" applyBorder="1" applyAlignment="1">
      <alignment wrapText="1"/>
    </xf>
    <xf numFmtId="0" fontId="15" fillId="0" borderId="23" xfId="0" applyFont="1" applyBorder="1" applyAlignment="1" applyProtection="1">
      <alignment horizontal="center" vertical="center"/>
      <protection locked="0"/>
    </xf>
    <xf numFmtId="0" fontId="0" fillId="0" borderId="23" xfId="0" applyBorder="1" applyAlignment="1" applyProtection="1">
      <alignment horizontal="left" vertical="top" wrapText="1"/>
      <protection locked="0"/>
    </xf>
    <xf numFmtId="0" fontId="0" fillId="0" borderId="23" xfId="0" applyBorder="1" applyAlignment="1">
      <alignment horizontal="left" vertical="top" wrapText="1"/>
    </xf>
    <xf numFmtId="0" fontId="0" fillId="2" borderId="0" xfId="0" applyFill="1"/>
    <xf numFmtId="0" fontId="0" fillId="2" borderId="16" xfId="0" applyFill="1" applyBorder="1"/>
    <xf numFmtId="0" fontId="0" fillId="2" borderId="16" xfId="0" applyFill="1" applyBorder="1" applyAlignment="1">
      <alignment horizontal="left" vertical="center"/>
    </xf>
    <xf numFmtId="0" fontId="0" fillId="0" borderId="16" xfId="0" applyBorder="1" applyAlignment="1" applyProtection="1">
      <alignment horizontal="left" vertical="top"/>
      <protection locked="0"/>
    </xf>
    <xf numFmtId="0" fontId="0" fillId="3" borderId="0" xfId="0" applyFill="1" applyProtection="1">
      <protection locked="0"/>
    </xf>
    <xf numFmtId="0" fontId="0" fillId="0" borderId="16" xfId="0" applyBorder="1" applyAlignment="1">
      <alignment horizontal="left" vertical="top"/>
    </xf>
    <xf numFmtId="0" fontId="23" fillId="2" borderId="51" xfId="2" applyFont="1" applyFill="1" applyBorder="1" applyAlignment="1">
      <alignment vertical="center"/>
    </xf>
    <xf numFmtId="3" fontId="24" fillId="2" borderId="0" xfId="2" applyNumberFormat="1" applyFont="1" applyFill="1" applyAlignment="1">
      <alignment vertical="center"/>
    </xf>
    <xf numFmtId="9" fontId="25" fillId="2" borderId="28" xfId="2" applyNumberFormat="1" applyFont="1" applyFill="1" applyBorder="1" applyAlignment="1">
      <alignment horizontal="center" vertical="center"/>
    </xf>
    <xf numFmtId="9" fontId="25" fillId="2" borderId="22" xfId="2" applyNumberFormat="1" applyFont="1" applyFill="1" applyBorder="1" applyAlignment="1">
      <alignment horizontal="center" vertical="center"/>
    </xf>
    <xf numFmtId="9" fontId="25" fillId="2" borderId="52" xfId="2" applyNumberFormat="1" applyFont="1" applyFill="1" applyBorder="1" applyAlignment="1">
      <alignment horizontal="center" vertical="center"/>
    </xf>
    <xf numFmtId="164" fontId="24" fillId="2" borderId="41" xfId="2" applyNumberFormat="1" applyFont="1" applyFill="1" applyBorder="1" applyAlignment="1">
      <alignment horizontal="center" vertical="center" wrapText="1"/>
    </xf>
    <xf numFmtId="165" fontId="24" fillId="2" borderId="26" xfId="2" applyNumberFormat="1" applyFont="1" applyFill="1" applyBorder="1" applyAlignment="1">
      <alignment horizontal="center" vertical="center"/>
    </xf>
    <xf numFmtId="3" fontId="23" fillId="2" borderId="28" xfId="2" applyNumberFormat="1" applyFont="1" applyFill="1" applyBorder="1" applyAlignment="1">
      <alignment vertical="center"/>
    </xf>
    <xf numFmtId="166" fontId="24" fillId="2" borderId="29" xfId="2" applyNumberFormat="1" applyFont="1" applyFill="1" applyBorder="1" applyAlignment="1">
      <alignment vertical="center"/>
    </xf>
    <xf numFmtId="2" fontId="24" fillId="2" borderId="27" xfId="2" applyNumberFormat="1" applyFont="1" applyFill="1" applyBorder="1" applyAlignment="1">
      <alignment vertical="center"/>
    </xf>
    <xf numFmtId="2" fontId="23" fillId="2" borderId="13" xfId="2" applyNumberFormat="1" applyFont="1" applyFill="1" applyBorder="1" applyAlignment="1">
      <alignment vertical="center"/>
    </xf>
    <xf numFmtId="2" fontId="24" fillId="2" borderId="30" xfId="2" applyNumberFormat="1" applyFont="1" applyFill="1" applyBorder="1" applyAlignment="1">
      <alignment vertical="center"/>
    </xf>
    <xf numFmtId="2" fontId="23" fillId="2" borderId="0" xfId="2" applyNumberFormat="1" applyFont="1" applyFill="1" applyAlignment="1">
      <alignment vertical="center"/>
    </xf>
    <xf numFmtId="166" fontId="23" fillId="2" borderId="22" xfId="2" applyNumberFormat="1" applyFont="1" applyFill="1" applyBorder="1" applyAlignment="1">
      <alignment vertical="center"/>
    </xf>
    <xf numFmtId="2" fontId="23" fillId="2" borderId="31" xfId="2" applyNumberFormat="1" applyFont="1" applyFill="1" applyBorder="1" applyAlignment="1">
      <alignment vertical="center"/>
    </xf>
    <xf numFmtId="164" fontId="24" fillId="2" borderId="31" xfId="2" applyNumberFormat="1" applyFont="1" applyFill="1" applyBorder="1" applyAlignment="1">
      <alignment vertical="center"/>
    </xf>
    <xf numFmtId="0" fontId="23" fillId="2" borderId="32" xfId="2" applyFont="1" applyFill="1" applyBorder="1" applyAlignment="1">
      <alignment vertical="center"/>
    </xf>
    <xf numFmtId="0" fontId="23" fillId="2" borderId="31" xfId="2" applyFont="1" applyFill="1" applyBorder="1" applyAlignment="1">
      <alignment vertical="center"/>
    </xf>
    <xf numFmtId="2" fontId="23" fillId="2" borderId="30" xfId="2" applyNumberFormat="1" applyFont="1" applyFill="1" applyBorder="1" applyAlignment="1">
      <alignment vertical="center"/>
    </xf>
    <xf numFmtId="2" fontId="24" fillId="2" borderId="0" xfId="2" applyNumberFormat="1" applyFont="1" applyFill="1" applyAlignment="1">
      <alignment vertical="center"/>
    </xf>
    <xf numFmtId="0" fontId="23" fillId="2" borderId="35" xfId="2" applyFont="1" applyFill="1" applyBorder="1" applyAlignment="1">
      <alignment vertical="center"/>
    </xf>
    <xf numFmtId="0" fontId="23" fillId="2" borderId="16" xfId="2" applyFont="1" applyFill="1" applyBorder="1" applyAlignment="1">
      <alignment vertical="center"/>
    </xf>
    <xf numFmtId="0" fontId="23" fillId="2" borderId="28" xfId="2" applyFont="1" applyFill="1" applyBorder="1" applyAlignment="1">
      <alignment vertical="center"/>
    </xf>
    <xf numFmtId="0" fontId="23" fillId="2" borderId="12" xfId="2" applyFont="1" applyFill="1" applyBorder="1" applyAlignment="1">
      <alignment vertical="center"/>
    </xf>
    <xf numFmtId="0" fontId="24" fillId="2" borderId="26" xfId="2" applyFont="1" applyFill="1" applyBorder="1" applyAlignment="1">
      <alignment horizontal="center" vertical="center"/>
    </xf>
    <xf numFmtId="0" fontId="24" fillId="2" borderId="53" xfId="2" applyFont="1" applyFill="1" applyBorder="1" applyAlignment="1">
      <alignment horizontal="center" vertical="center"/>
    </xf>
    <xf numFmtId="0" fontId="5" fillId="3" borderId="0" xfId="0" applyFont="1" applyFill="1"/>
    <xf numFmtId="3" fontId="24" fillId="0" borderId="16" xfId="2" applyNumberFormat="1" applyFont="1" applyBorder="1" applyAlignment="1">
      <alignment horizontal="center" vertical="center"/>
    </xf>
    <xf numFmtId="3" fontId="23" fillId="0" borderId="16" xfId="2" applyNumberFormat="1" applyFont="1" applyBorder="1" applyAlignment="1">
      <alignment horizontal="center" vertical="center"/>
    </xf>
    <xf numFmtId="3" fontId="23" fillId="0" borderId="16" xfId="2" applyNumberFormat="1" applyFont="1" applyBorder="1" applyAlignment="1">
      <alignment vertical="center"/>
    </xf>
    <xf numFmtId="3" fontId="23" fillId="0" borderId="16" xfId="2" applyNumberFormat="1" applyFont="1" applyBorder="1" applyAlignment="1" applyProtection="1">
      <alignment vertical="center"/>
      <protection locked="0"/>
    </xf>
    <xf numFmtId="3" fontId="24" fillId="0" borderId="16" xfId="2" applyNumberFormat="1" applyFont="1" applyBorder="1" applyAlignment="1">
      <alignment vertical="center"/>
    </xf>
    <xf numFmtId="3" fontId="24" fillId="0" borderId="50" xfId="2" applyNumberFormat="1" applyFont="1" applyBorder="1" applyAlignment="1">
      <alignment vertical="center"/>
    </xf>
    <xf numFmtId="3" fontId="23" fillId="0" borderId="28" xfId="2" applyNumberFormat="1" applyFont="1" applyBorder="1" applyAlignment="1">
      <alignment vertical="center"/>
    </xf>
    <xf numFmtId="3" fontId="24" fillId="0" borderId="28" xfId="2" applyNumberFormat="1" applyFont="1" applyBorder="1" applyAlignment="1">
      <alignment vertical="center"/>
    </xf>
    <xf numFmtId="3" fontId="4" fillId="2" borderId="48" xfId="2" applyNumberFormat="1" applyFill="1" applyBorder="1"/>
    <xf numFmtId="3" fontId="4" fillId="2" borderId="0" xfId="2" applyNumberFormat="1" applyFill="1"/>
    <xf numFmtId="3" fontId="4" fillId="0" borderId="0" xfId="2" applyNumberFormat="1"/>
    <xf numFmtId="0" fontId="16" fillId="0" borderId="16" xfId="0" applyFont="1" applyBorder="1" applyAlignment="1">
      <alignment vertical="center"/>
    </xf>
    <xf numFmtId="0" fontId="41" fillId="3" borderId="0" xfId="0" applyFont="1" applyFill="1"/>
    <xf numFmtId="0" fontId="43" fillId="3" borderId="0" xfId="0" applyFont="1" applyFill="1"/>
    <xf numFmtId="0" fontId="0" fillId="0" borderId="16" xfId="0" applyBorder="1" applyAlignment="1">
      <alignment horizontal="left" vertical="top" wrapText="1"/>
    </xf>
    <xf numFmtId="0" fontId="0" fillId="3" borderId="16" xfId="0" applyFill="1" applyBorder="1" applyAlignment="1" applyProtection="1">
      <alignment horizontal="left" vertical="top" wrapText="1"/>
      <protection locked="0"/>
    </xf>
    <xf numFmtId="0" fontId="0" fillId="3" borderId="0" xfId="0" applyFill="1" applyAlignment="1">
      <alignment horizontal="left"/>
    </xf>
    <xf numFmtId="168" fontId="57" fillId="0" borderId="0" xfId="0" applyNumberFormat="1" applyFont="1" applyAlignment="1" applyProtection="1">
      <alignment horizontal="right" vertical="center" indent="1"/>
      <protection locked="0"/>
    </xf>
    <xf numFmtId="0" fontId="57" fillId="0" borderId="0" xfId="0" applyFont="1" applyAlignment="1" applyProtection="1">
      <alignment horizontal="left" vertical="center" indent="1"/>
      <protection locked="0"/>
    </xf>
    <xf numFmtId="0" fontId="57" fillId="0" borderId="16" xfId="0" applyFont="1" applyBorder="1" applyAlignment="1" applyProtection="1">
      <alignment horizontal="left" vertical="center" indent="1"/>
      <protection locked="0"/>
    </xf>
    <xf numFmtId="168" fontId="57" fillId="0" borderId="16" xfId="0" applyNumberFormat="1" applyFont="1" applyBorder="1" applyAlignment="1" applyProtection="1">
      <alignment horizontal="right" vertical="center" indent="1"/>
      <protection locked="0"/>
    </xf>
    <xf numFmtId="0" fontId="57" fillId="0" borderId="16" xfId="0" applyFont="1" applyBorder="1" applyAlignment="1" applyProtection="1">
      <alignment vertical="center"/>
      <protection locked="0"/>
    </xf>
    <xf numFmtId="0" fontId="65" fillId="0" borderId="62" xfId="0" applyFont="1" applyBorder="1" applyAlignment="1" applyProtection="1">
      <alignment horizontal="left" vertical="center" indent="1"/>
      <protection locked="0"/>
    </xf>
    <xf numFmtId="0" fontId="65" fillId="2" borderId="0" xfId="0" applyFont="1" applyFill="1" applyAlignment="1" applyProtection="1">
      <alignment horizontal="left" vertical="center" indent="1"/>
      <protection locked="0"/>
    </xf>
    <xf numFmtId="0" fontId="65" fillId="0" borderId="0" xfId="0" applyFont="1" applyAlignment="1" applyProtection="1">
      <alignment horizontal="left" vertical="center" indent="1"/>
      <protection locked="0"/>
    </xf>
    <xf numFmtId="0" fontId="0" fillId="0" borderId="16" xfId="0" applyBorder="1" applyAlignment="1">
      <alignment vertical="center"/>
    </xf>
    <xf numFmtId="168" fontId="66" fillId="2" borderId="63" xfId="0" applyNumberFormat="1" applyFont="1" applyFill="1" applyBorder="1" applyAlignment="1" applyProtection="1">
      <alignment horizontal="right" vertical="center" indent="1"/>
      <protection locked="0"/>
    </xf>
    <xf numFmtId="168" fontId="4" fillId="2" borderId="0" xfId="2" applyNumberFormat="1" applyFill="1"/>
    <xf numFmtId="3" fontId="4" fillId="2" borderId="16" xfId="2" applyNumberFormat="1" applyFill="1" applyBorder="1" applyAlignment="1">
      <alignment horizontal="center" vertical="center"/>
    </xf>
    <xf numFmtId="3" fontId="56" fillId="2" borderId="16" xfId="2" applyNumberFormat="1" applyFont="1" applyFill="1" applyBorder="1" applyAlignment="1">
      <alignment horizontal="center" vertical="center"/>
    </xf>
    <xf numFmtId="3" fontId="57" fillId="0" borderId="0" xfId="0" applyNumberFormat="1" applyFont="1" applyAlignment="1" applyProtection="1">
      <alignment horizontal="center" vertical="center"/>
      <protection locked="0"/>
    </xf>
    <xf numFmtId="168" fontId="4" fillId="2" borderId="16" xfId="2" applyNumberFormat="1" applyFill="1" applyBorder="1" applyAlignment="1">
      <alignment horizontal="center" vertical="center"/>
    </xf>
    <xf numFmtId="0" fontId="57" fillId="3" borderId="0" xfId="0" applyFont="1" applyFill="1" applyAlignment="1">
      <alignment vertical="center"/>
    </xf>
    <xf numFmtId="0" fontId="59" fillId="3" borderId="0" xfId="0" applyFont="1" applyFill="1" applyAlignment="1">
      <alignment horizontal="left" vertical="center" wrapText="1" indent="1"/>
    </xf>
    <xf numFmtId="0" fontId="61" fillId="3" borderId="0" xfId="0" applyFont="1" applyFill="1" applyAlignment="1">
      <alignment horizontal="left" vertical="center" wrapText="1" indent="1"/>
    </xf>
    <xf numFmtId="0" fontId="63" fillId="0" borderId="57" xfId="4" applyFont="1" applyAlignment="1" applyProtection="1">
      <alignment horizontal="left" vertical="center" indent="1"/>
    </xf>
    <xf numFmtId="0" fontId="63" fillId="0" borderId="57" xfId="4" applyFont="1" applyAlignment="1" applyProtection="1">
      <alignment horizontal="right" vertical="center" indent="1"/>
    </xf>
    <xf numFmtId="0" fontId="57" fillId="0" borderId="0" xfId="0" applyFont="1" applyAlignment="1">
      <alignment horizontal="left" vertical="center" indent="1"/>
    </xf>
    <xf numFmtId="0" fontId="57" fillId="0" borderId="0" xfId="0" applyFont="1" applyAlignment="1">
      <alignment vertical="center"/>
    </xf>
    <xf numFmtId="168" fontId="57" fillId="0" borderId="0" xfId="0" applyNumberFormat="1" applyFont="1" applyAlignment="1">
      <alignment horizontal="right" vertical="center" indent="1"/>
    </xf>
    <xf numFmtId="0" fontId="64" fillId="2" borderId="0" xfId="0" applyFont="1" applyFill="1" applyAlignment="1">
      <alignment horizontal="left" vertical="center" indent="1"/>
    </xf>
    <xf numFmtId="0" fontId="64" fillId="2" borderId="0" xfId="0" applyFont="1" applyFill="1" applyAlignment="1">
      <alignment vertical="center"/>
    </xf>
    <xf numFmtId="0" fontId="63" fillId="0" borderId="57" xfId="4" applyFont="1" applyAlignment="1" applyProtection="1">
      <alignment horizontal="center" vertical="center"/>
    </xf>
    <xf numFmtId="0" fontId="57" fillId="0" borderId="0" xfId="0" applyFont="1"/>
    <xf numFmtId="0" fontId="57" fillId="3" borderId="0" xfId="0" applyFont="1" applyFill="1" applyAlignment="1">
      <alignment horizontal="left" vertical="center" indent="1"/>
    </xf>
    <xf numFmtId="168" fontId="57" fillId="3" borderId="0" xfId="0" applyNumberFormat="1" applyFont="1" applyFill="1" applyAlignment="1">
      <alignment horizontal="right" vertical="center" indent="1"/>
    </xf>
    <xf numFmtId="0" fontId="67" fillId="3" borderId="64" xfId="4" applyFont="1" applyFill="1" applyBorder="1" applyAlignment="1" applyProtection="1">
      <alignment horizontal="left" vertical="center" indent="1"/>
    </xf>
    <xf numFmtId="0" fontId="63" fillId="3" borderId="64" xfId="4" applyFont="1" applyFill="1" applyBorder="1" applyAlignment="1" applyProtection="1">
      <alignment horizontal="left" vertical="center" indent="1"/>
    </xf>
    <xf numFmtId="168" fontId="66" fillId="0" borderId="66" xfId="0" applyNumberFormat="1" applyFont="1" applyBorder="1" applyAlignment="1">
      <alignment horizontal="right" vertical="center" indent="1"/>
    </xf>
    <xf numFmtId="0" fontId="63" fillId="0" borderId="0" xfId="4" applyFont="1" applyBorder="1" applyAlignment="1" applyProtection="1">
      <alignment horizontal="left" vertical="center" indent="1"/>
    </xf>
    <xf numFmtId="0" fontId="63" fillId="0" borderId="0" xfId="4" applyFont="1" applyBorder="1" applyAlignment="1" applyProtection="1">
      <alignment horizontal="left" vertical="center"/>
    </xf>
    <xf numFmtId="0" fontId="63" fillId="0" borderId="0" xfId="4" applyFont="1" applyBorder="1" applyAlignment="1" applyProtection="1">
      <alignment horizontal="right" vertical="center" indent="1"/>
    </xf>
    <xf numFmtId="0" fontId="57" fillId="0" borderId="16" xfId="0" applyFont="1" applyBorder="1" applyAlignment="1">
      <alignment horizontal="left" vertical="center" indent="1"/>
    </xf>
    <xf numFmtId="0" fontId="63" fillId="0" borderId="0" xfId="4" applyFont="1" applyFill="1" applyBorder="1" applyAlignment="1" applyProtection="1">
      <alignment horizontal="left" vertical="center" indent="1"/>
    </xf>
    <xf numFmtId="0" fontId="59" fillId="0" borderId="61" xfId="0" applyFont="1" applyBorder="1" applyAlignment="1">
      <alignment vertical="center"/>
    </xf>
    <xf numFmtId="0" fontId="59" fillId="0" borderId="61" xfId="0" applyFont="1" applyBorder="1" applyAlignment="1">
      <alignment horizontal="right" vertical="center"/>
    </xf>
    <xf numFmtId="0" fontId="65" fillId="0" borderId="62" xfId="0" applyFont="1" applyBorder="1" applyAlignment="1">
      <alignment vertical="center"/>
    </xf>
    <xf numFmtId="0" fontId="65" fillId="2" borderId="0" xfId="0" applyFont="1" applyFill="1" applyAlignment="1">
      <alignment vertical="center"/>
    </xf>
    <xf numFmtId="0" fontId="65" fillId="0" borderId="0" xfId="0" applyFont="1" applyAlignment="1">
      <alignment vertical="center"/>
    </xf>
    <xf numFmtId="0" fontId="57" fillId="3" borderId="0" xfId="0" applyFont="1" applyFill="1"/>
    <xf numFmtId="0" fontId="62" fillId="3" borderId="0" xfId="3" applyFont="1" applyFill="1" applyBorder="1" applyAlignment="1" applyProtection="1">
      <alignment vertical="center"/>
    </xf>
    <xf numFmtId="0" fontId="62" fillId="0" borderId="0" xfId="3" applyFont="1" applyBorder="1" applyAlignment="1" applyProtection="1">
      <alignment vertical="center"/>
    </xf>
    <xf numFmtId="0" fontId="68" fillId="0" borderId="23" xfId="0" applyFont="1" applyBorder="1" applyAlignment="1">
      <alignment horizontal="center" vertical="center" wrapText="1"/>
    </xf>
    <xf numFmtId="3" fontId="57" fillId="3" borderId="0" xfId="0" applyNumberFormat="1" applyFont="1" applyFill="1" applyAlignment="1" applyProtection="1">
      <alignment horizontal="center"/>
      <protection locked="0"/>
    </xf>
    <xf numFmtId="3" fontId="57" fillId="2" borderId="0" xfId="0" applyNumberFormat="1" applyFont="1" applyFill="1" applyAlignment="1" applyProtection="1">
      <alignment horizontal="center"/>
      <protection locked="0"/>
    </xf>
    <xf numFmtId="0" fontId="63" fillId="0" borderId="57" xfId="4" applyFont="1" applyAlignment="1" applyProtection="1">
      <alignment horizontal="right" vertical="center" wrapText="1" indent="1"/>
    </xf>
    <xf numFmtId="166" fontId="0" fillId="3" borderId="0" xfId="0" applyNumberFormat="1" applyFill="1"/>
    <xf numFmtId="166" fontId="63" fillId="0" borderId="57" xfId="4" applyNumberFormat="1" applyFont="1" applyAlignment="1" applyProtection="1">
      <alignment horizontal="right" vertical="center" wrapText="1" indent="1"/>
    </xf>
    <xf numFmtId="10" fontId="57" fillId="0" borderId="0" xfId="0" applyNumberFormat="1" applyFont="1" applyAlignment="1" applyProtection="1">
      <alignment horizontal="center" vertical="center"/>
      <protection locked="0"/>
    </xf>
    <xf numFmtId="0" fontId="63" fillId="0" borderId="64" xfId="4" applyFont="1" applyFill="1" applyBorder="1" applyAlignment="1">
      <alignment horizontal="center" vertical="center"/>
    </xf>
    <xf numFmtId="164" fontId="4" fillId="2" borderId="0" xfId="2" applyNumberFormat="1" applyFill="1"/>
    <xf numFmtId="0" fontId="29" fillId="2" borderId="10" xfId="2" applyFont="1" applyFill="1" applyBorder="1" applyAlignment="1">
      <alignment vertical="center"/>
    </xf>
    <xf numFmtId="164" fontId="23" fillId="2" borderId="10" xfId="2" applyNumberFormat="1" applyFont="1" applyFill="1" applyBorder="1" applyAlignment="1">
      <alignment vertical="center"/>
    </xf>
    <xf numFmtId="0" fontId="23" fillId="2" borderId="10" xfId="2" applyFont="1" applyFill="1" applyBorder="1" applyAlignment="1">
      <alignment vertical="center"/>
    </xf>
    <xf numFmtId="0" fontId="4" fillId="2" borderId="67" xfId="2" applyFill="1" applyBorder="1"/>
    <xf numFmtId="9" fontId="25" fillId="2" borderId="10" xfId="2" applyNumberFormat="1" applyFont="1" applyFill="1" applyBorder="1" applyAlignment="1">
      <alignment horizontal="center" vertical="center"/>
    </xf>
    <xf numFmtId="0" fontId="70" fillId="2" borderId="0" xfId="2" applyFont="1" applyFill="1" applyAlignment="1">
      <alignment vertical="center"/>
    </xf>
    <xf numFmtId="164" fontId="71" fillId="2" borderId="0" xfId="2" applyNumberFormat="1" applyFont="1" applyFill="1" applyAlignment="1">
      <alignment vertical="center"/>
    </xf>
    <xf numFmtId="0" fontId="71" fillId="2" borderId="0" xfId="2" applyFont="1" applyFill="1" applyAlignment="1">
      <alignment vertical="center"/>
    </xf>
    <xf numFmtId="0" fontId="72" fillId="2" borderId="24" xfId="2" applyFont="1" applyFill="1" applyBorder="1"/>
    <xf numFmtId="9" fontId="72" fillId="2" borderId="0" xfId="2" applyNumberFormat="1" applyFont="1" applyFill="1" applyAlignment="1">
      <alignment horizontal="center" vertical="center"/>
    </xf>
    <xf numFmtId="0" fontId="72" fillId="2" borderId="0" xfId="2" applyFont="1" applyFill="1" applyAlignment="1">
      <alignment horizontal="left" vertical="center"/>
    </xf>
    <xf numFmtId="10" fontId="66" fillId="2" borderId="63" xfId="0" applyNumberFormat="1" applyFont="1" applyFill="1" applyBorder="1" applyAlignment="1" applyProtection="1">
      <alignment horizontal="center" vertical="center"/>
      <protection locked="0"/>
    </xf>
    <xf numFmtId="3" fontId="4" fillId="3" borderId="16" xfId="2" applyNumberFormat="1" applyFill="1" applyBorder="1"/>
    <xf numFmtId="165" fontId="24" fillId="2" borderId="68" xfId="2" applyNumberFormat="1" applyFont="1" applyFill="1" applyBorder="1" applyAlignment="1" applyProtection="1">
      <alignment horizontal="center" vertical="center"/>
      <protection locked="0"/>
    </xf>
    <xf numFmtId="165" fontId="24" fillId="2" borderId="69" xfId="2" applyNumberFormat="1" applyFont="1" applyFill="1" applyBorder="1" applyAlignment="1">
      <alignment horizontal="center" vertical="center"/>
    </xf>
    <xf numFmtId="169" fontId="24" fillId="11" borderId="25" xfId="2" applyNumberFormat="1" applyFont="1" applyFill="1" applyBorder="1" applyAlignment="1" applyProtection="1">
      <alignment horizontal="center" vertical="center"/>
      <protection locked="0"/>
    </xf>
    <xf numFmtId="169" fontId="73" fillId="2" borderId="0" xfId="2" applyNumberFormat="1" applyFont="1" applyFill="1" applyAlignment="1">
      <alignment horizontal="center" vertical="center"/>
    </xf>
    <xf numFmtId="0" fontId="24" fillId="2" borderId="25" xfId="2" applyFont="1" applyFill="1" applyBorder="1" applyAlignment="1">
      <alignment horizontal="center" vertical="center" wrapText="1"/>
    </xf>
    <xf numFmtId="3" fontId="4" fillId="2" borderId="16" xfId="2" applyNumberFormat="1" applyFill="1" applyBorder="1"/>
    <xf numFmtId="0" fontId="56" fillId="2" borderId="16" xfId="2" applyFont="1" applyFill="1" applyBorder="1"/>
    <xf numFmtId="3" fontId="56" fillId="2" borderId="16" xfId="2" applyNumberFormat="1" applyFont="1" applyFill="1" applyBorder="1"/>
    <xf numFmtId="0" fontId="28" fillId="2" borderId="16" xfId="2" applyFont="1" applyFill="1" applyBorder="1" applyAlignment="1">
      <alignment vertical="center"/>
    </xf>
    <xf numFmtId="3" fontId="23" fillId="2" borderId="16" xfId="2" applyNumberFormat="1" applyFont="1" applyFill="1" applyBorder="1" applyAlignment="1">
      <alignment horizontal="center" vertical="center"/>
    </xf>
    <xf numFmtId="0" fontId="37" fillId="3" borderId="21" xfId="2" applyFont="1" applyFill="1" applyBorder="1" applyAlignment="1">
      <alignment horizontal="left" vertical="top"/>
    </xf>
    <xf numFmtId="3" fontId="4" fillId="3" borderId="22" xfId="2" applyNumberFormat="1" applyFill="1" applyBorder="1"/>
    <xf numFmtId="3" fontId="4" fillId="3" borderId="23" xfId="2" applyNumberFormat="1" applyFill="1" applyBorder="1"/>
    <xf numFmtId="0" fontId="37" fillId="2" borderId="21" xfId="2" applyFont="1" applyFill="1" applyBorder="1" applyAlignment="1">
      <alignment horizontal="left" vertical="top"/>
    </xf>
    <xf numFmtId="0" fontId="37" fillId="2" borderId="23" xfId="2" applyFont="1" applyFill="1" applyBorder="1" applyAlignment="1">
      <alignment horizontal="left" vertical="top"/>
    </xf>
    <xf numFmtId="3" fontId="74" fillId="2" borderId="0" xfId="2" applyNumberFormat="1" applyFont="1" applyFill="1"/>
    <xf numFmtId="0" fontId="75" fillId="2" borderId="22" xfId="2" applyFont="1" applyFill="1" applyBorder="1" applyAlignment="1">
      <alignment horizontal="center" vertical="center" wrapText="1"/>
    </xf>
    <xf numFmtId="170" fontId="23" fillId="2" borderId="44" xfId="2" applyNumberFormat="1" applyFont="1" applyFill="1" applyBorder="1" applyAlignment="1">
      <alignment horizontal="center" vertical="center"/>
    </xf>
    <xf numFmtId="0" fontId="29" fillId="2" borderId="0" xfId="2" applyFont="1" applyFill="1" applyAlignment="1">
      <alignment vertical="center" wrapText="1"/>
    </xf>
    <xf numFmtId="0" fontId="22" fillId="3" borderId="0" xfId="0" applyFont="1" applyFill="1"/>
    <xf numFmtId="0" fontId="22" fillId="3" borderId="0" xfId="0" applyFont="1" applyFill="1" applyProtection="1">
      <protection locked="0"/>
    </xf>
    <xf numFmtId="0" fontId="1" fillId="10" borderId="16" xfId="2" applyFont="1" applyFill="1" applyBorder="1" applyAlignment="1">
      <alignment horizontal="center" vertical="center"/>
    </xf>
    <xf numFmtId="0" fontId="76" fillId="3" borderId="0" xfId="7" applyFont="1" applyFill="1"/>
    <xf numFmtId="0" fontId="77" fillId="3" borderId="0" xfId="7" applyFont="1" applyFill="1" applyAlignment="1">
      <alignment horizontal="center"/>
    </xf>
    <xf numFmtId="0" fontId="77" fillId="3" borderId="0" xfId="7" applyFont="1" applyFill="1"/>
    <xf numFmtId="0" fontId="23" fillId="3" borderId="0" xfId="7" applyFill="1"/>
    <xf numFmtId="0" fontId="77" fillId="15" borderId="0" xfId="7" applyFont="1" applyFill="1"/>
    <xf numFmtId="0" fontId="79" fillId="3" borderId="0" xfId="7" applyFont="1" applyFill="1"/>
    <xf numFmtId="0" fontId="79" fillId="3" borderId="0" xfId="7" applyFont="1" applyFill="1" applyAlignment="1">
      <alignment horizontal="center"/>
    </xf>
    <xf numFmtId="0" fontId="80" fillId="3" borderId="0" xfId="7" applyFont="1" applyFill="1" applyAlignment="1">
      <alignment horizontal="center"/>
    </xf>
    <xf numFmtId="0" fontId="79" fillId="15" borderId="0" xfId="7" applyFont="1" applyFill="1"/>
    <xf numFmtId="0" fontId="78" fillId="0" borderId="0" xfId="8" applyFont="1"/>
    <xf numFmtId="0" fontId="57" fillId="3" borderId="0" xfId="7" applyFont="1" applyFill="1"/>
    <xf numFmtId="0" fontId="81" fillId="3" borderId="0" xfId="7" applyFont="1" applyFill="1" applyAlignment="1">
      <alignment horizontal="center"/>
    </xf>
    <xf numFmtId="0" fontId="78" fillId="3" borderId="0" xfId="7" applyFont="1" applyFill="1" applyAlignment="1">
      <alignment horizontal="center"/>
    </xf>
    <xf numFmtId="9" fontId="78" fillId="2" borderId="16" xfId="7" applyNumberFormat="1" applyFont="1" applyFill="1" applyBorder="1" applyAlignment="1" applyProtection="1">
      <alignment horizontal="center"/>
      <protection locked="0"/>
    </xf>
    <xf numFmtId="0" fontId="78" fillId="3" borderId="0" xfId="7" applyFont="1" applyFill="1"/>
    <xf numFmtId="0" fontId="27" fillId="3" borderId="0" xfId="7" applyFont="1" applyFill="1"/>
    <xf numFmtId="0" fontId="27" fillId="3" borderId="0" xfId="7" applyFont="1" applyFill="1" applyAlignment="1">
      <alignment horizontal="center"/>
    </xf>
    <xf numFmtId="0" fontId="82" fillId="16" borderId="0" xfId="7" applyFont="1" applyFill="1"/>
    <xf numFmtId="0" fontId="82" fillId="16" borderId="0" xfId="7" applyFont="1" applyFill="1" applyAlignment="1">
      <alignment horizontal="center"/>
    </xf>
    <xf numFmtId="0" fontId="27" fillId="16" borderId="0" xfId="7" applyFont="1" applyFill="1" applyAlignment="1">
      <alignment horizontal="center"/>
    </xf>
    <xf numFmtId="173" fontId="79" fillId="2" borderId="0" xfId="7" applyNumberFormat="1" applyFont="1" applyFill="1" applyAlignment="1" applyProtection="1">
      <alignment horizontal="center"/>
      <protection locked="0"/>
    </xf>
    <xf numFmtId="0" fontId="79" fillId="2" borderId="0" xfId="7" applyFont="1" applyFill="1" applyAlignment="1" applyProtection="1">
      <alignment horizontal="center"/>
      <protection locked="0"/>
    </xf>
    <xf numFmtId="173" fontId="79" fillId="3" borderId="0" xfId="7" applyNumberFormat="1" applyFont="1" applyFill="1" applyAlignment="1">
      <alignment horizontal="center"/>
    </xf>
    <xf numFmtId="0" fontId="83" fillId="2" borderId="21" xfId="8" applyFont="1" applyFill="1" applyBorder="1"/>
    <xf numFmtId="0" fontId="83" fillId="2" borderId="22" xfId="8" applyFont="1" applyFill="1" applyBorder="1"/>
    <xf numFmtId="172" fontId="78" fillId="2" borderId="22" xfId="8" applyNumberFormat="1" applyFont="1" applyFill="1" applyBorder="1" applyAlignment="1">
      <alignment horizontal="center"/>
    </xf>
    <xf numFmtId="172" fontId="78" fillId="2" borderId="23" xfId="8" applyNumberFormat="1" applyFont="1" applyFill="1" applyBorder="1" applyAlignment="1">
      <alignment horizontal="center"/>
    </xf>
    <xf numFmtId="169" fontId="79" fillId="2" borderId="0" xfId="7" applyNumberFormat="1" applyFont="1" applyFill="1" applyAlignment="1" applyProtection="1">
      <alignment horizontal="center"/>
      <protection locked="0"/>
    </xf>
    <xf numFmtId="174" fontId="79" fillId="15" borderId="0" xfId="7" applyNumberFormat="1" applyFont="1" applyFill="1"/>
    <xf numFmtId="174" fontId="79" fillId="3" borderId="0" xfId="7" applyNumberFormat="1" applyFont="1" applyFill="1"/>
    <xf numFmtId="174" fontId="84" fillId="3" borderId="0" xfId="7" applyNumberFormat="1" applyFont="1" applyFill="1" applyAlignment="1">
      <alignment horizontal="center"/>
    </xf>
    <xf numFmtId="174" fontId="79" fillId="3" borderId="0" xfId="7" applyNumberFormat="1" applyFont="1" applyFill="1" applyAlignment="1">
      <alignment horizontal="center"/>
    </xf>
    <xf numFmtId="9" fontId="79" fillId="3" borderId="0" xfId="7" applyNumberFormat="1" applyFont="1" applyFill="1" applyAlignment="1">
      <alignment horizontal="center"/>
    </xf>
    <xf numFmtId="168" fontId="85" fillId="2" borderId="39" xfId="8" applyNumberFormat="1" applyFont="1" applyFill="1" applyBorder="1" applyAlignment="1">
      <alignment horizontal="center"/>
    </xf>
    <xf numFmtId="0" fontId="85" fillId="3" borderId="0" xfId="8" applyFont="1" applyFill="1"/>
    <xf numFmtId="168" fontId="86" fillId="16" borderId="25" xfId="8" applyNumberFormat="1" applyFont="1" applyFill="1" applyBorder="1" applyAlignment="1" applyProtection="1">
      <alignment horizontal="center"/>
      <protection locked="0"/>
    </xf>
    <xf numFmtId="0" fontId="87" fillId="3" borderId="0" xfId="8" applyFont="1" applyFill="1"/>
    <xf numFmtId="0" fontId="23" fillId="3" borderId="0" xfId="7" applyFill="1" applyAlignment="1">
      <alignment horizontal="center"/>
    </xf>
    <xf numFmtId="0" fontId="23" fillId="15" borderId="0" xfId="7" applyFill="1"/>
    <xf numFmtId="0" fontId="87" fillId="3" borderId="0" xfId="8" applyFont="1" applyFill="1" applyAlignment="1">
      <alignment horizontal="left"/>
    </xf>
    <xf numFmtId="0" fontId="23" fillId="3" borderId="0" xfId="7" applyFill="1" applyAlignment="1">
      <alignment horizontal="left"/>
    </xf>
    <xf numFmtId="168" fontId="87" fillId="3" borderId="0" xfId="8" applyNumberFormat="1" applyFont="1" applyFill="1" applyAlignment="1">
      <alignment horizontal="center"/>
    </xf>
    <xf numFmtId="168" fontId="85" fillId="2" borderId="25" xfId="8" applyNumberFormat="1" applyFont="1" applyFill="1" applyBorder="1" applyAlignment="1">
      <alignment horizontal="center"/>
    </xf>
    <xf numFmtId="168" fontId="78" fillId="16" borderId="72" xfId="8" applyNumberFormat="1" applyFont="1" applyFill="1" applyBorder="1" applyAlignment="1">
      <alignment horizontal="center"/>
    </xf>
    <xf numFmtId="0" fontId="86" fillId="12" borderId="70" xfId="6" applyFont="1" applyFill="1" applyBorder="1"/>
    <xf numFmtId="0" fontId="88" fillId="3" borderId="0" xfId="7" applyFont="1" applyFill="1"/>
    <xf numFmtId="0" fontId="89" fillId="17" borderId="21" xfId="8" applyFont="1" applyFill="1" applyBorder="1"/>
    <xf numFmtId="0" fontId="89" fillId="17" borderId="22" xfId="8" applyFont="1" applyFill="1" applyBorder="1"/>
    <xf numFmtId="172" fontId="86" fillId="17" borderId="22" xfId="8" applyNumberFormat="1" applyFont="1" applyFill="1" applyBorder="1" applyAlignment="1">
      <alignment horizontal="center"/>
    </xf>
    <xf numFmtId="172" fontId="86" fillId="17" borderId="23" xfId="8" applyNumberFormat="1" applyFont="1" applyFill="1" applyBorder="1" applyAlignment="1">
      <alignment horizontal="center"/>
    </xf>
    <xf numFmtId="0" fontId="89" fillId="17" borderId="0" xfId="8" applyFont="1" applyFill="1"/>
    <xf numFmtId="172" fontId="86" fillId="17" borderId="0" xfId="8" applyNumberFormat="1" applyFont="1" applyFill="1" applyAlignment="1">
      <alignment horizontal="center"/>
    </xf>
    <xf numFmtId="0" fontId="83" fillId="3" borderId="0" xfId="8" applyFont="1" applyFill="1"/>
    <xf numFmtId="172" fontId="78" fillId="3" borderId="0" xfId="8" applyNumberFormat="1" applyFont="1" applyFill="1" applyAlignment="1">
      <alignment horizontal="center"/>
    </xf>
    <xf numFmtId="3" fontId="57" fillId="3" borderId="0" xfId="8" applyNumberFormat="1" applyFont="1" applyFill="1" applyAlignment="1">
      <alignment horizontal="center"/>
    </xf>
    <xf numFmtId="3" fontId="78" fillId="2" borderId="23" xfId="8" applyNumberFormat="1" applyFont="1" applyFill="1" applyBorder="1" applyAlignment="1">
      <alignment horizontal="center"/>
    </xf>
    <xf numFmtId="0" fontId="76" fillId="3" borderId="0" xfId="0" applyFont="1" applyFill="1"/>
    <xf numFmtId="0" fontId="78" fillId="3" borderId="0" xfId="0" applyFont="1" applyFill="1"/>
    <xf numFmtId="0" fontId="57" fillId="3" borderId="23" xfId="0" applyFont="1" applyFill="1" applyBorder="1" applyAlignment="1">
      <alignment wrapText="1"/>
    </xf>
    <xf numFmtId="0" fontId="57" fillId="3" borderId="16" xfId="0" applyFont="1" applyFill="1" applyBorder="1" applyAlignment="1">
      <alignment wrapText="1"/>
    </xf>
    <xf numFmtId="0" fontId="57" fillId="10" borderId="16" xfId="0" applyFont="1" applyFill="1" applyBorder="1" applyAlignment="1" applyProtection="1">
      <alignment horizontal="center" vertical="center" wrapText="1"/>
      <protection locked="0"/>
    </xf>
    <xf numFmtId="3" fontId="78" fillId="3" borderId="23" xfId="0" applyNumberFormat="1" applyFont="1" applyFill="1" applyBorder="1" applyAlignment="1">
      <alignment horizontal="center" vertical="center" wrapText="1"/>
    </xf>
    <xf numFmtId="0" fontId="78" fillId="3" borderId="0" xfId="0" applyFont="1" applyFill="1" applyAlignment="1">
      <alignment horizontal="center" vertical="center" wrapText="1"/>
    </xf>
    <xf numFmtId="0" fontId="57" fillId="3" borderId="0" xfId="0" applyFont="1" applyFill="1" applyAlignment="1">
      <alignment horizontal="center"/>
    </xf>
    <xf numFmtId="0" fontId="78" fillId="3" borderId="0" xfId="0" applyFont="1" applyFill="1" applyAlignment="1">
      <alignment horizontal="left" vertical="center"/>
    </xf>
    <xf numFmtId="0" fontId="57" fillId="3" borderId="0" xfId="0" applyFont="1" applyFill="1" applyAlignment="1">
      <alignment horizontal="left" vertical="center"/>
    </xf>
    <xf numFmtId="0" fontId="90" fillId="3" borderId="0" xfId="0" applyFont="1" applyFill="1" applyAlignment="1">
      <alignment horizontal="center" vertical="center"/>
    </xf>
    <xf numFmtId="10" fontId="57" fillId="10" borderId="16" xfId="0" applyNumberFormat="1" applyFont="1" applyFill="1" applyBorder="1" applyAlignment="1" applyProtection="1">
      <alignment horizontal="center" vertical="center"/>
      <protection locked="0"/>
    </xf>
    <xf numFmtId="0" fontId="87" fillId="0" borderId="0" xfId="6" applyFont="1"/>
    <xf numFmtId="0" fontId="85" fillId="0" borderId="16" xfId="6" applyFont="1" applyBorder="1"/>
    <xf numFmtId="0" fontId="87" fillId="15" borderId="0" xfId="6" applyFont="1" applyFill="1"/>
    <xf numFmtId="0" fontId="78" fillId="0" borderId="0" xfId="6" applyFont="1"/>
    <xf numFmtId="0" fontId="85" fillId="0" borderId="0" xfId="6" applyFont="1"/>
    <xf numFmtId="0" fontId="57" fillId="0" borderId="0" xfId="6" applyFont="1"/>
    <xf numFmtId="0" fontId="85" fillId="2" borderId="0" xfId="6" applyFont="1" applyFill="1" applyAlignment="1" applyProtection="1">
      <alignment horizontal="center"/>
      <protection locked="0"/>
    </xf>
    <xf numFmtId="0" fontId="57" fillId="0" borderId="0" xfId="6" applyFont="1" applyAlignment="1">
      <alignment vertical="center"/>
    </xf>
    <xf numFmtId="0" fontId="85" fillId="2" borderId="0" xfId="6" applyFont="1" applyFill="1" applyAlignment="1" applyProtection="1">
      <alignment horizontal="center" vertical="center"/>
      <protection locked="0"/>
    </xf>
    <xf numFmtId="0" fontId="87" fillId="0" borderId="0" xfId="6" applyFont="1" applyAlignment="1">
      <alignment vertical="center" wrapText="1"/>
    </xf>
    <xf numFmtId="0" fontId="85" fillId="0" borderId="0" xfId="6" applyFont="1" applyAlignment="1">
      <alignment vertical="center"/>
    </xf>
    <xf numFmtId="0" fontId="87" fillId="15" borderId="0" xfId="6" applyFont="1" applyFill="1" applyAlignment="1">
      <alignment vertical="center"/>
    </xf>
    <xf numFmtId="0" fontId="87" fillId="0" borderId="0" xfId="6" applyFont="1" applyAlignment="1">
      <alignment vertical="center"/>
    </xf>
    <xf numFmtId="168" fontId="85" fillId="2" borderId="0" xfId="6" applyNumberFormat="1" applyFont="1" applyFill="1" applyAlignment="1" applyProtection="1">
      <alignment horizontal="center"/>
      <protection locked="0"/>
    </xf>
    <xf numFmtId="2" fontId="85" fillId="0" borderId="0" xfId="6" applyNumberFormat="1" applyFont="1" applyAlignment="1">
      <alignment horizontal="center"/>
    </xf>
    <xf numFmtId="0" fontId="83" fillId="0" borderId="0" xfId="6" applyFont="1"/>
    <xf numFmtId="9" fontId="87" fillId="2" borderId="0" xfId="6" applyNumberFormat="1" applyFont="1" applyFill="1" applyAlignment="1" applyProtection="1">
      <alignment horizontal="center"/>
      <protection locked="0"/>
    </xf>
    <xf numFmtId="0" fontId="85" fillId="12" borderId="0" xfId="6" applyFont="1" applyFill="1" applyAlignment="1">
      <alignment vertical="center"/>
    </xf>
    <xf numFmtId="0" fontId="85" fillId="12" borderId="0" xfId="6" applyFont="1" applyFill="1" applyAlignment="1">
      <alignment vertical="center" wrapText="1"/>
    </xf>
    <xf numFmtId="0" fontId="85" fillId="2" borderId="48" xfId="6" applyFont="1" applyFill="1" applyBorder="1" applyProtection="1">
      <protection locked="0"/>
    </xf>
    <xf numFmtId="168" fontId="87" fillId="2" borderId="48" xfId="6" applyNumberFormat="1" applyFont="1" applyFill="1" applyBorder="1" applyProtection="1">
      <protection locked="0"/>
    </xf>
    <xf numFmtId="171" fontId="87" fillId="2" borderId="48" xfId="6" applyNumberFormat="1" applyFont="1" applyFill="1" applyBorder="1" applyProtection="1">
      <protection locked="0"/>
    </xf>
    <xf numFmtId="168" fontId="87" fillId="0" borderId="48" xfId="6" applyNumberFormat="1" applyFont="1" applyBorder="1"/>
    <xf numFmtId="0" fontId="83" fillId="13" borderId="48" xfId="6" applyFont="1" applyFill="1" applyBorder="1"/>
    <xf numFmtId="0" fontId="85" fillId="13" borderId="48" xfId="6" applyFont="1" applyFill="1" applyBorder="1"/>
    <xf numFmtId="0" fontId="87" fillId="13" borderId="48" xfId="6" applyFont="1" applyFill="1" applyBorder="1"/>
    <xf numFmtId="168" fontId="87" fillId="13" borderId="48" xfId="6" applyNumberFormat="1" applyFont="1" applyFill="1" applyBorder="1"/>
    <xf numFmtId="168" fontId="87" fillId="0" borderId="0" xfId="6" applyNumberFormat="1" applyFont="1"/>
    <xf numFmtId="0" fontId="85" fillId="12" borderId="0" xfId="6" applyFont="1" applyFill="1"/>
    <xf numFmtId="0" fontId="87" fillId="2" borderId="0" xfId="6" applyFont="1" applyFill="1" applyProtection="1">
      <protection locked="0"/>
    </xf>
    <xf numFmtId="0" fontId="83" fillId="13" borderId="70" xfId="6" applyFont="1" applyFill="1" applyBorder="1"/>
    <xf numFmtId="0" fontId="85" fillId="13" borderId="71" xfId="6" applyFont="1" applyFill="1" applyBorder="1"/>
    <xf numFmtId="168" fontId="85" fillId="13" borderId="71" xfId="6" applyNumberFormat="1" applyFont="1" applyFill="1" applyBorder="1"/>
    <xf numFmtId="168" fontId="85" fillId="13" borderId="72" xfId="6" applyNumberFormat="1" applyFont="1" applyFill="1" applyBorder="1"/>
    <xf numFmtId="168" fontId="87" fillId="2" borderId="0" xfId="6" applyNumberFormat="1" applyFont="1" applyFill="1" applyProtection="1">
      <protection locked="0"/>
    </xf>
    <xf numFmtId="9" fontId="87" fillId="2" borderId="0" xfId="6" applyNumberFormat="1" applyFont="1" applyFill="1" applyProtection="1">
      <protection locked="0"/>
    </xf>
    <xf numFmtId="168" fontId="85" fillId="13" borderId="25" xfId="6" applyNumberFormat="1" applyFont="1" applyFill="1" applyBorder="1"/>
    <xf numFmtId="168" fontId="85" fillId="14" borderId="25" xfId="6" applyNumberFormat="1" applyFont="1" applyFill="1" applyBorder="1"/>
    <xf numFmtId="2" fontId="87" fillId="0" borderId="0" xfId="6" applyNumberFormat="1" applyFont="1"/>
    <xf numFmtId="10" fontId="87" fillId="2" borderId="0" xfId="6" applyNumberFormat="1" applyFont="1" applyFill="1" applyProtection="1">
      <protection locked="0"/>
    </xf>
    <xf numFmtId="0" fontId="87" fillId="0" borderId="0" xfId="6" applyFont="1" applyAlignment="1">
      <alignment horizontal="right"/>
    </xf>
    <xf numFmtId="0" fontId="87" fillId="13" borderId="71" xfId="6" applyFont="1" applyFill="1" applyBorder="1"/>
    <xf numFmtId="0" fontId="86" fillId="12" borderId="71" xfId="6" applyFont="1" applyFill="1" applyBorder="1"/>
    <xf numFmtId="168" fontId="86" fillId="12" borderId="72" xfId="6" applyNumberFormat="1" applyFont="1" applyFill="1" applyBorder="1"/>
    <xf numFmtId="168" fontId="85" fillId="13" borderId="39" xfId="6" applyNumberFormat="1" applyFont="1" applyFill="1" applyBorder="1"/>
    <xf numFmtId="168" fontId="86" fillId="2" borderId="25" xfId="6" applyNumberFormat="1" applyFont="1" applyFill="1" applyBorder="1" applyProtection="1">
      <protection locked="0"/>
    </xf>
    <xf numFmtId="0" fontId="78" fillId="12" borderId="70" xfId="6" applyFont="1" applyFill="1" applyBorder="1"/>
    <xf numFmtId="168" fontId="78" fillId="12" borderId="72" xfId="6" applyNumberFormat="1" applyFont="1" applyFill="1" applyBorder="1"/>
    <xf numFmtId="0" fontId="78" fillId="3" borderId="0" xfId="0" applyFont="1" applyFill="1" applyAlignment="1">
      <alignment horizontal="center" vertical="center"/>
    </xf>
    <xf numFmtId="169" fontId="57" fillId="10" borderId="23" xfId="0" applyNumberFormat="1" applyFont="1" applyFill="1" applyBorder="1" applyAlignment="1" applyProtection="1">
      <alignment horizontal="center" vertical="center" wrapText="1"/>
      <protection locked="0"/>
    </xf>
    <xf numFmtId="10" fontId="57" fillId="10" borderId="23" xfId="0" applyNumberFormat="1" applyFont="1" applyFill="1" applyBorder="1" applyAlignment="1" applyProtection="1">
      <alignment horizontal="center" vertical="center"/>
      <protection locked="0"/>
    </xf>
    <xf numFmtId="0" fontId="57" fillId="3" borderId="16" xfId="0" applyFont="1" applyFill="1" applyBorder="1" applyAlignment="1">
      <alignment horizontal="left" vertical="top" wrapText="1"/>
    </xf>
    <xf numFmtId="168" fontId="78" fillId="2" borderId="16" xfId="0" applyNumberFormat="1" applyFont="1" applyFill="1" applyBorder="1" applyAlignment="1">
      <alignment horizontal="center" vertical="center" wrapText="1"/>
    </xf>
    <xf numFmtId="0" fontId="92" fillId="3" borderId="0" xfId="0" applyFont="1" applyFill="1"/>
    <xf numFmtId="173" fontId="79" fillId="10" borderId="0" xfId="7" applyNumberFormat="1" applyFont="1" applyFill="1" applyAlignment="1" applyProtection="1">
      <alignment horizontal="center"/>
      <protection locked="0"/>
    </xf>
    <xf numFmtId="0" fontId="79" fillId="10" borderId="0" xfId="7" applyFont="1" applyFill="1" applyAlignment="1" applyProtection="1">
      <alignment horizontal="center"/>
      <protection locked="0"/>
    </xf>
    <xf numFmtId="169" fontId="79" fillId="10" borderId="0" xfId="7" applyNumberFormat="1" applyFont="1" applyFill="1" applyAlignment="1" applyProtection="1">
      <alignment horizontal="center"/>
      <protection locked="0"/>
    </xf>
    <xf numFmtId="0" fontId="9" fillId="3" borderId="0" xfId="1" applyFill="1" applyBorder="1" applyAlignment="1">
      <alignment vertical="center"/>
    </xf>
    <xf numFmtId="0" fontId="9" fillId="3" borderId="0" xfId="1" applyFill="1" applyBorder="1" applyAlignment="1">
      <alignment horizontal="left" vertical="center"/>
    </xf>
    <xf numFmtId="0" fontId="9" fillId="3" borderId="0" xfId="1" quotePrefix="1" applyFill="1" applyBorder="1" applyAlignment="1">
      <alignment horizontal="left" vertical="top"/>
    </xf>
    <xf numFmtId="0" fontId="94" fillId="18" borderId="21" xfId="1" quotePrefix="1" applyFont="1" applyFill="1" applyBorder="1" applyAlignment="1">
      <alignment horizontal="left" vertical="top"/>
    </xf>
    <xf numFmtId="0" fontId="9" fillId="18" borderId="23" xfId="1" applyFill="1" applyBorder="1" applyAlignment="1">
      <alignment vertical="center"/>
    </xf>
    <xf numFmtId="0" fontId="95" fillId="3" borderId="0" xfId="0" applyFont="1" applyFill="1"/>
    <xf numFmtId="0" fontId="94" fillId="18" borderId="21" xfId="1" quotePrefix="1" applyFont="1" applyFill="1" applyBorder="1" applyAlignment="1">
      <alignment horizontal="left" vertical="center"/>
    </xf>
    <xf numFmtId="0" fontId="0" fillId="18" borderId="23" xfId="0" applyFill="1" applyBorder="1" applyAlignment="1">
      <alignment horizontal="left" vertical="center"/>
    </xf>
    <xf numFmtId="0" fontId="9" fillId="18" borderId="21" xfId="1" quotePrefix="1" applyFill="1" applyBorder="1" applyAlignment="1">
      <alignment horizontal="left" vertical="center"/>
    </xf>
    <xf numFmtId="0" fontId="9" fillId="16" borderId="21" xfId="1" quotePrefix="1" applyFill="1" applyBorder="1" applyAlignment="1">
      <alignment horizontal="left" vertical="center"/>
    </xf>
    <xf numFmtId="0" fontId="94" fillId="18" borderId="16" xfId="1" quotePrefix="1" applyFont="1" applyFill="1" applyBorder="1" applyAlignment="1">
      <alignment horizontal="left" vertical="center"/>
    </xf>
    <xf numFmtId="0" fontId="9" fillId="18" borderId="16" xfId="1" quotePrefix="1" applyFill="1" applyBorder="1" applyAlignment="1">
      <alignment horizontal="left" vertical="center"/>
    </xf>
    <xf numFmtId="0" fontId="9" fillId="18" borderId="16" xfId="1" quotePrefix="1" applyFill="1" applyBorder="1" applyAlignment="1">
      <alignment horizontal="center" vertical="center"/>
    </xf>
    <xf numFmtId="0" fontId="93" fillId="0" borderId="16" xfId="0" applyFont="1" applyBorder="1"/>
    <xf numFmtId="0" fontId="57" fillId="16" borderId="23" xfId="0" applyFont="1" applyFill="1" applyBorder="1"/>
    <xf numFmtId="0" fontId="23" fillId="16" borderId="23" xfId="7" applyFill="1" applyBorder="1"/>
    <xf numFmtId="0" fontId="9" fillId="16" borderId="16" xfId="1" quotePrefix="1" applyFill="1" applyBorder="1" applyAlignment="1">
      <alignment horizontal="left" vertical="center"/>
    </xf>
    <xf numFmtId="0" fontId="23" fillId="16" borderId="22" xfId="7" applyFill="1" applyBorder="1"/>
    <xf numFmtId="3" fontId="0" fillId="0" borderId="0" xfId="0" applyNumberFormat="1"/>
    <xf numFmtId="2" fontId="0" fillId="0" borderId="0" xfId="0" applyNumberFormat="1"/>
    <xf numFmtId="0" fontId="15" fillId="0" borderId="0" xfId="0" applyFont="1"/>
    <xf numFmtId="168" fontId="56" fillId="2" borderId="16" xfId="2" applyNumberFormat="1" applyFont="1" applyFill="1" applyBorder="1" applyAlignment="1">
      <alignment horizontal="center"/>
    </xf>
    <xf numFmtId="0" fontId="4" fillId="16" borderId="23" xfId="2" applyFill="1" applyBorder="1"/>
    <xf numFmtId="0" fontId="0" fillId="16" borderId="23" xfId="0" applyFill="1" applyBorder="1" applyAlignment="1">
      <alignment horizontal="left" vertical="center"/>
    </xf>
    <xf numFmtId="0" fontId="1" fillId="10" borderId="16" xfId="2" applyFont="1" applyFill="1" applyBorder="1" applyAlignment="1">
      <alignment horizontal="center" vertical="center" wrapText="1"/>
    </xf>
    <xf numFmtId="0" fontId="1" fillId="2" borderId="0" xfId="2" applyFont="1" applyFill="1"/>
    <xf numFmtId="3" fontId="1" fillId="3" borderId="16" xfId="2" applyNumberFormat="1" applyFont="1" applyFill="1" applyBorder="1"/>
    <xf numFmtId="0" fontId="1" fillId="2" borderId="16" xfId="2" applyFont="1" applyFill="1" applyBorder="1"/>
    <xf numFmtId="0" fontId="24" fillId="2" borderId="54" xfId="2" applyFont="1" applyFill="1" applyBorder="1" applyAlignment="1">
      <alignment vertical="center"/>
    </xf>
    <xf numFmtId="0" fontId="23" fillId="2" borderId="55" xfId="2" applyFont="1" applyFill="1" applyBorder="1" applyAlignment="1">
      <alignment vertical="center"/>
    </xf>
    <xf numFmtId="0" fontId="23" fillId="2" borderId="54" xfId="2" applyFont="1" applyFill="1" applyBorder="1" applyAlignment="1">
      <alignment vertical="center"/>
    </xf>
    <xf numFmtId="0" fontId="24" fillId="2" borderId="54" xfId="2" applyFont="1" applyFill="1" applyBorder="1" applyAlignment="1">
      <alignment vertical="center" wrapText="1"/>
    </xf>
    <xf numFmtId="3" fontId="23" fillId="2" borderId="55" xfId="2" applyNumberFormat="1" applyFont="1" applyFill="1" applyBorder="1" applyAlignment="1">
      <alignment vertical="center"/>
    </xf>
    <xf numFmtId="2" fontId="23" fillId="2" borderId="55" xfId="2" applyNumberFormat="1" applyFont="1" applyFill="1" applyBorder="1" applyAlignment="1">
      <alignment vertical="center"/>
    </xf>
    <xf numFmtId="164" fontId="23" fillId="2" borderId="55" xfId="2" applyNumberFormat="1" applyFont="1" applyFill="1" applyBorder="1" applyAlignment="1">
      <alignment vertical="center"/>
    </xf>
    <xf numFmtId="0" fontId="7" fillId="2" borderId="0" xfId="0" applyFont="1" applyFill="1" applyAlignment="1">
      <alignment vertical="center"/>
    </xf>
    <xf numFmtId="0" fontId="57" fillId="3" borderId="0" xfId="0" applyFont="1" applyFill="1" applyAlignment="1">
      <alignment horizontal="center" vertical="center"/>
    </xf>
    <xf numFmtId="168" fontId="57" fillId="3" borderId="16" xfId="0" applyNumberFormat="1" applyFont="1" applyFill="1" applyBorder="1" applyAlignment="1">
      <alignment horizontal="center" vertical="center" wrapText="1"/>
    </xf>
    <xf numFmtId="3" fontId="78" fillId="10" borderId="16" xfId="0" applyNumberFormat="1" applyFont="1" applyFill="1" applyBorder="1" applyAlignment="1" applyProtection="1">
      <alignment horizontal="center" vertical="center" wrapText="1"/>
      <protection locked="0"/>
    </xf>
    <xf numFmtId="0" fontId="78" fillId="3" borderId="10" xfId="0" applyFont="1" applyFill="1" applyBorder="1" applyAlignment="1">
      <alignment horizontal="center" vertical="center" wrapText="1"/>
    </xf>
    <xf numFmtId="168" fontId="57" fillId="10" borderId="16" xfId="0" applyNumberFormat="1" applyFont="1" applyFill="1" applyBorder="1" applyAlignment="1" applyProtection="1">
      <alignment horizontal="center" vertical="center" wrapText="1"/>
      <protection locked="0"/>
    </xf>
    <xf numFmtId="0" fontId="57" fillId="3" borderId="0" xfId="8" applyFont="1" applyFill="1" applyAlignment="1">
      <alignment horizontal="left"/>
    </xf>
    <xf numFmtId="0" fontId="83" fillId="3" borderId="0" xfId="8" applyFont="1" applyFill="1" applyAlignment="1">
      <alignment horizontal="left"/>
    </xf>
    <xf numFmtId="0" fontId="83" fillId="3" borderId="24" xfId="8" applyFont="1" applyFill="1" applyBorder="1" applyAlignment="1">
      <alignment horizontal="left"/>
    </xf>
    <xf numFmtId="168" fontId="57" fillId="2" borderId="16" xfId="0" applyNumberFormat="1" applyFont="1" applyFill="1" applyBorder="1" applyAlignment="1">
      <alignment horizontal="center" vertical="center" wrapText="1"/>
    </xf>
    <xf numFmtId="0" fontId="15" fillId="3" borderId="0" xfId="0" applyFont="1" applyFill="1" applyAlignment="1">
      <alignment wrapText="1"/>
    </xf>
    <xf numFmtId="0" fontId="0" fillId="2" borderId="55" xfId="0" applyFill="1" applyBorder="1" applyAlignment="1">
      <alignment horizontal="left" vertical="center" wrapText="1"/>
    </xf>
    <xf numFmtId="0" fontId="0" fillId="2" borderId="16" xfId="0" applyFill="1" applyBorder="1" applyAlignment="1">
      <alignment horizontal="left" vertical="center" wrapText="1"/>
    </xf>
    <xf numFmtId="0" fontId="5" fillId="2" borderId="75" xfId="0" applyFont="1" applyFill="1" applyBorder="1"/>
    <xf numFmtId="0" fontId="78" fillId="3" borderId="75" xfId="0" applyFont="1" applyFill="1" applyBorder="1"/>
    <xf numFmtId="0" fontId="57" fillId="3" borderId="75" xfId="0" applyFont="1" applyFill="1" applyBorder="1"/>
    <xf numFmtId="0" fontId="57" fillId="3" borderId="75" xfId="0" applyFont="1" applyFill="1" applyBorder="1" applyAlignment="1">
      <alignment horizontal="center"/>
    </xf>
    <xf numFmtId="0" fontId="24" fillId="2" borderId="77" xfId="2" applyFont="1" applyFill="1" applyBorder="1" applyAlignment="1">
      <alignment vertical="center"/>
    </xf>
    <xf numFmtId="0" fontId="28" fillId="2" borderId="78" xfId="2" applyFont="1" applyFill="1" applyBorder="1" applyAlignment="1">
      <alignment vertical="center"/>
    </xf>
    <xf numFmtId="0" fontId="24" fillId="2" borderId="79" xfId="2" applyFont="1" applyFill="1" applyBorder="1" applyAlignment="1">
      <alignment vertical="center"/>
    </xf>
    <xf numFmtId="0" fontId="24" fillId="2" borderId="80" xfId="2" applyFont="1" applyFill="1" applyBorder="1" applyAlignment="1">
      <alignment horizontal="center" vertical="center"/>
    </xf>
    <xf numFmtId="0" fontId="32" fillId="2" borderId="81" xfId="2" applyFont="1" applyFill="1" applyBorder="1" applyAlignment="1">
      <alignment vertical="center"/>
    </xf>
    <xf numFmtId="0" fontId="24" fillId="2" borderId="78" xfId="2" applyFont="1" applyFill="1" applyBorder="1" applyAlignment="1">
      <alignment horizontal="center" vertical="center"/>
    </xf>
    <xf numFmtId="164" fontId="24" fillId="2" borderId="77" xfId="2" applyNumberFormat="1" applyFont="1" applyFill="1" applyBorder="1" applyAlignment="1">
      <alignment vertical="center"/>
    </xf>
    <xf numFmtId="164" fontId="24" fillId="2" borderId="82" xfId="2" applyNumberFormat="1" applyFont="1" applyFill="1" applyBorder="1" applyAlignment="1">
      <alignment vertical="center"/>
    </xf>
    <xf numFmtId="0" fontId="23" fillId="2" borderId="83" xfId="2" applyFont="1" applyFill="1" applyBorder="1" applyAlignment="1">
      <alignment vertical="center"/>
    </xf>
    <xf numFmtId="0" fontId="23" fillId="2" borderId="84" xfId="2" applyFont="1" applyFill="1" applyBorder="1" applyAlignment="1">
      <alignment vertical="center"/>
    </xf>
    <xf numFmtId="3" fontId="23" fillId="2" borderId="83" xfId="2" applyNumberFormat="1" applyFont="1" applyFill="1" applyBorder="1" applyAlignment="1">
      <alignment vertical="center"/>
    </xf>
    <xf numFmtId="0" fontId="23" fillId="2" borderId="85" xfId="2" applyFont="1" applyFill="1" applyBorder="1" applyAlignment="1">
      <alignment vertical="center"/>
    </xf>
    <xf numFmtId="0" fontId="31" fillId="2" borderId="78" xfId="2" applyFont="1" applyFill="1" applyBorder="1" applyAlignment="1">
      <alignment vertical="center"/>
    </xf>
    <xf numFmtId="2" fontId="23" fillId="2" borderId="77" xfId="2" applyNumberFormat="1" applyFont="1" applyFill="1" applyBorder="1" applyAlignment="1">
      <alignment vertical="center"/>
    </xf>
    <xf numFmtId="2" fontId="23" fillId="2" borderId="82" xfId="2" applyNumberFormat="1" applyFont="1" applyFill="1" applyBorder="1" applyAlignment="1">
      <alignment vertical="center"/>
    </xf>
    <xf numFmtId="0" fontId="23" fillId="2" borderId="86" xfId="2" applyFont="1" applyFill="1" applyBorder="1" applyAlignment="1">
      <alignment vertical="center"/>
    </xf>
    <xf numFmtId="0" fontId="29" fillId="2" borderId="87" xfId="2" applyFont="1" applyFill="1" applyBorder="1" applyAlignment="1">
      <alignment vertical="center"/>
    </xf>
    <xf numFmtId="0" fontId="29" fillId="2" borderId="86" xfId="2" applyFont="1" applyFill="1" applyBorder="1" applyAlignment="1">
      <alignment vertical="center"/>
    </xf>
    <xf numFmtId="0" fontId="28" fillId="2" borderId="86" xfId="2" applyFont="1" applyFill="1" applyBorder="1" applyAlignment="1">
      <alignment vertical="center"/>
    </xf>
    <xf numFmtId="0" fontId="99" fillId="2" borderId="0" xfId="0" applyFont="1" applyFill="1"/>
    <xf numFmtId="0" fontId="99" fillId="2" borderId="0" xfId="0" applyFont="1" applyFill="1" applyAlignment="1">
      <alignment vertical="top"/>
    </xf>
    <xf numFmtId="0" fontId="4" fillId="2" borderId="0" xfId="2" applyFill="1" applyAlignment="1">
      <alignment vertical="top"/>
    </xf>
    <xf numFmtId="0" fontId="4" fillId="2" borderId="16" xfId="2" applyFill="1" applyBorder="1" applyAlignment="1">
      <alignment vertical="top"/>
    </xf>
    <xf numFmtId="0" fontId="100" fillId="2" borderId="0" xfId="2" applyFont="1" applyFill="1"/>
    <xf numFmtId="0" fontId="101" fillId="2" borderId="0" xfId="2" applyFont="1" applyFill="1"/>
    <xf numFmtId="10" fontId="41" fillId="3" borderId="16" xfId="2" applyNumberFormat="1" applyFont="1" applyFill="1" applyBorder="1" applyAlignment="1" applyProtection="1">
      <alignment horizontal="center" vertical="center"/>
      <protection locked="0"/>
    </xf>
    <xf numFmtId="175" fontId="24" fillId="0" borderId="28" xfId="2" applyNumberFormat="1" applyFont="1" applyBorder="1" applyAlignment="1">
      <alignment horizontal="center" vertical="center"/>
    </xf>
    <xf numFmtId="14" fontId="15" fillId="0" borderId="23" xfId="0" applyNumberFormat="1" applyFont="1" applyBorder="1" applyAlignment="1">
      <alignment horizontal="center" vertical="center"/>
    </xf>
    <xf numFmtId="0" fontId="74" fillId="2" borderId="0" xfId="2" applyFont="1" applyFill="1"/>
    <xf numFmtId="168" fontId="79" fillId="3" borderId="0" xfId="7" applyNumberFormat="1" applyFont="1" applyFill="1" applyAlignment="1">
      <alignment horizontal="center"/>
    </xf>
    <xf numFmtId="0" fontId="23" fillId="0" borderId="16" xfId="2" applyFont="1" applyBorder="1" applyAlignment="1" applyProtection="1">
      <alignment vertical="center"/>
      <protection locked="0"/>
    </xf>
    <xf numFmtId="0" fontId="94" fillId="18" borderId="21" xfId="1" quotePrefix="1" applyFont="1" applyFill="1" applyBorder="1" applyAlignment="1">
      <alignment horizontal="center" vertical="center"/>
    </xf>
    <xf numFmtId="0" fontId="94" fillId="18" borderId="23" xfId="1" quotePrefix="1" applyFont="1" applyFill="1" applyBorder="1" applyAlignment="1">
      <alignment horizontal="center" vertical="center"/>
    </xf>
    <xf numFmtId="0" fontId="0" fillId="3" borderId="0" xfId="0" applyFill="1" applyAlignment="1">
      <alignment wrapText="1"/>
    </xf>
    <xf numFmtId="0" fontId="102" fillId="3" borderId="0" xfId="0" applyFont="1" applyFill="1"/>
    <xf numFmtId="0" fontId="102" fillId="0" borderId="16" xfId="0" applyFont="1" applyBorder="1" applyAlignment="1">
      <alignment wrapText="1"/>
    </xf>
    <xf numFmtId="0" fontId="102" fillId="3" borderId="0" xfId="0" applyFont="1" applyFill="1" applyAlignment="1">
      <alignment wrapText="1"/>
    </xf>
    <xf numFmtId="0" fontId="102" fillId="0" borderId="16" xfId="0" applyFont="1" applyBorder="1" applyAlignment="1" applyProtection="1">
      <alignment vertical="center" wrapText="1"/>
      <protection locked="0"/>
    </xf>
    <xf numFmtId="0" fontId="103" fillId="2" borderId="0" xfId="0" applyFont="1" applyFill="1"/>
    <xf numFmtId="0" fontId="12" fillId="0" borderId="4" xfId="0" applyFont="1" applyBorder="1" applyAlignment="1" applyProtection="1">
      <alignment horizontal="left" vertical="top" wrapText="1" indent="1"/>
      <protection locked="0"/>
    </xf>
    <xf numFmtId="0" fontId="0" fillId="0" borderId="0" xfId="0" applyAlignment="1" applyProtection="1">
      <alignment horizontal="left" vertical="top" wrapText="1" indent="1"/>
      <protection locked="0"/>
    </xf>
    <xf numFmtId="0" fontId="0" fillId="0" borderId="5" xfId="0" applyBorder="1" applyAlignment="1" applyProtection="1">
      <alignment horizontal="left" vertical="top" wrapText="1" indent="1"/>
      <protection locked="0"/>
    </xf>
    <xf numFmtId="0" fontId="0" fillId="0" borderId="4" xfId="0" applyBorder="1" applyAlignment="1" applyProtection="1">
      <alignment horizontal="left" vertical="top" wrapText="1" indent="1"/>
      <protection locked="0"/>
    </xf>
    <xf numFmtId="0" fontId="0" fillId="0" borderId="9" xfId="0" applyBorder="1" applyAlignment="1" applyProtection="1">
      <alignment horizontal="left" vertical="top" wrapText="1" indent="1"/>
      <protection locked="0"/>
    </xf>
    <xf numFmtId="0" fontId="0" fillId="0" borderId="10" xfId="0" applyBorder="1" applyAlignment="1" applyProtection="1">
      <alignment horizontal="left" vertical="top" wrapText="1" indent="1"/>
      <protection locked="0"/>
    </xf>
    <xf numFmtId="0" fontId="0" fillId="0" borderId="11" xfId="0" applyBorder="1" applyAlignment="1" applyProtection="1">
      <alignment horizontal="left" vertical="top" wrapText="1" indent="1"/>
      <protection locked="0"/>
    </xf>
    <xf numFmtId="0" fontId="9" fillId="3" borderId="4" xfId="1" applyFill="1" applyBorder="1" applyAlignment="1">
      <alignment horizontal="left" vertical="top" wrapText="1" indent="1"/>
    </xf>
    <xf numFmtId="0" fontId="9" fillId="0" borderId="0" xfId="1" applyBorder="1" applyAlignment="1">
      <alignment horizontal="left" vertical="top" wrapText="1" indent="1"/>
    </xf>
    <xf numFmtId="0" fontId="9" fillId="0" borderId="5" xfId="1" applyBorder="1" applyAlignment="1">
      <alignment horizontal="left" vertical="top" wrapText="1" indent="1"/>
    </xf>
    <xf numFmtId="0" fontId="9" fillId="2" borderId="0" xfId="1" applyFill="1" applyAlignment="1"/>
    <xf numFmtId="0" fontId="14" fillId="3" borderId="54" xfId="1" applyFont="1" applyFill="1" applyBorder="1" applyAlignment="1">
      <alignment horizontal="left" vertical="center" indent="1"/>
    </xf>
    <xf numFmtId="0" fontId="14" fillId="3" borderId="0" xfId="1" applyFont="1" applyFill="1" applyBorder="1" applyAlignment="1">
      <alignment horizontal="left" vertical="center" indent="1"/>
    </xf>
    <xf numFmtId="0" fontId="14" fillId="3" borderId="75" xfId="1" applyFont="1" applyFill="1" applyBorder="1" applyAlignment="1">
      <alignment horizontal="left" vertical="center" indent="1"/>
    </xf>
    <xf numFmtId="0" fontId="14" fillId="3" borderId="76" xfId="1" applyFont="1" applyFill="1" applyBorder="1" applyAlignment="1">
      <alignment horizontal="left" vertical="center" indent="1"/>
    </xf>
    <xf numFmtId="0" fontId="14" fillId="3" borderId="13" xfId="1" applyFont="1" applyFill="1" applyBorder="1" applyAlignment="1">
      <alignment horizontal="left" vertical="center" indent="1"/>
    </xf>
    <xf numFmtId="0" fontId="14" fillId="3" borderId="74" xfId="1" applyFont="1" applyFill="1" applyBorder="1" applyAlignment="1">
      <alignment horizontal="left" vertical="center" indent="1"/>
    </xf>
    <xf numFmtId="0" fontId="14" fillId="3" borderId="0" xfId="1" applyFont="1" applyFill="1" applyAlignment="1">
      <alignment horizontal="left" vertical="center" indent="1"/>
    </xf>
    <xf numFmtId="0" fontId="11" fillId="3" borderId="74" xfId="0" applyFont="1" applyFill="1" applyBorder="1" applyAlignment="1" applyProtection="1">
      <alignment horizontal="left" vertical="top" wrapText="1" indent="1"/>
      <protection locked="0"/>
    </xf>
    <xf numFmtId="0" fontId="11" fillId="3" borderId="75" xfId="0" applyFont="1" applyFill="1" applyBorder="1" applyAlignment="1" applyProtection="1">
      <alignment horizontal="left" vertical="top" indent="1"/>
      <protection locked="0"/>
    </xf>
    <xf numFmtId="0" fontId="11" fillId="3" borderId="76" xfId="0" applyFont="1" applyFill="1" applyBorder="1" applyAlignment="1" applyProtection="1">
      <alignment horizontal="left" vertical="top" indent="1"/>
      <protection locked="0"/>
    </xf>
    <xf numFmtId="0" fontId="12" fillId="0" borderId="54" xfId="0" applyFont="1" applyBorder="1" applyAlignment="1" applyProtection="1">
      <alignment horizontal="left" vertical="top" indent="1"/>
      <protection locked="0"/>
    </xf>
    <xf numFmtId="0" fontId="12" fillId="0" borderId="0" xfId="0" applyFont="1" applyAlignment="1" applyProtection="1">
      <alignment horizontal="left" vertical="top" indent="1"/>
      <protection locked="0"/>
    </xf>
    <xf numFmtId="0" fontId="12" fillId="0" borderId="13" xfId="0" applyFont="1" applyBorder="1" applyAlignment="1" applyProtection="1">
      <alignment horizontal="left" vertical="top" indent="1"/>
      <protection locked="0"/>
    </xf>
    <xf numFmtId="0" fontId="12" fillId="0" borderId="14" xfId="0" applyFont="1" applyBorder="1" applyAlignment="1" applyProtection="1">
      <alignment horizontal="left" vertical="top" indent="1"/>
      <protection locked="0"/>
    </xf>
    <xf numFmtId="0" fontId="12" fillId="0" borderId="10" xfId="0" applyFont="1" applyBorder="1" applyAlignment="1" applyProtection="1">
      <alignment horizontal="left" vertical="top" indent="1"/>
      <protection locked="0"/>
    </xf>
    <xf numFmtId="0" fontId="12" fillId="0" borderId="15" xfId="0" applyFont="1" applyBorder="1" applyAlignment="1" applyProtection="1">
      <alignment horizontal="left" vertical="top" indent="1"/>
      <protection locked="0"/>
    </xf>
    <xf numFmtId="0" fontId="9" fillId="3" borderId="0" xfId="1" applyFill="1" applyAlignment="1">
      <alignment vertical="center"/>
    </xf>
    <xf numFmtId="0" fontId="9" fillId="0" borderId="0" xfId="1" applyAlignment="1">
      <alignment vertical="center"/>
    </xf>
    <xf numFmtId="0" fontId="11" fillId="3" borderId="4" xfId="0" applyFont="1" applyFill="1" applyBorder="1" applyAlignment="1" applyProtection="1">
      <alignment horizontal="left" vertical="top" wrapText="1" indent="1"/>
      <protection locked="0"/>
    </xf>
    <xf numFmtId="0" fontId="11" fillId="3" borderId="0" xfId="0" applyFont="1" applyFill="1" applyAlignment="1" applyProtection="1">
      <alignment horizontal="left" vertical="top" indent="1"/>
      <protection locked="0"/>
    </xf>
    <xf numFmtId="0" fontId="11" fillId="3" borderId="5" xfId="0" applyFont="1" applyFill="1" applyBorder="1" applyAlignment="1" applyProtection="1">
      <alignment horizontal="left" vertical="top" indent="1"/>
      <protection locked="0"/>
    </xf>
    <xf numFmtId="0" fontId="12" fillId="0" borderId="4" xfId="0" applyFont="1" applyBorder="1" applyAlignment="1" applyProtection="1">
      <alignment horizontal="left" vertical="top" indent="1"/>
      <protection locked="0"/>
    </xf>
    <xf numFmtId="0" fontId="12" fillId="0" borderId="5" xfId="0" applyFont="1" applyBorder="1" applyAlignment="1" applyProtection="1">
      <alignment horizontal="left" vertical="top" indent="1"/>
      <protection locked="0"/>
    </xf>
    <xf numFmtId="0" fontId="12" fillId="0" borderId="6" xfId="0" applyFont="1" applyBorder="1" applyAlignment="1" applyProtection="1">
      <alignment horizontal="left" vertical="top" indent="1"/>
      <protection locked="0"/>
    </xf>
    <xf numFmtId="0" fontId="12" fillId="0" borderId="7" xfId="0" applyFont="1" applyBorder="1" applyAlignment="1" applyProtection="1">
      <alignment horizontal="left" vertical="top" indent="1"/>
      <protection locked="0"/>
    </xf>
    <xf numFmtId="0" fontId="12" fillId="0" borderId="8" xfId="0" applyFont="1" applyBorder="1" applyAlignment="1" applyProtection="1">
      <alignment horizontal="left" vertical="top" indent="1"/>
      <protection locked="0"/>
    </xf>
    <xf numFmtId="0" fontId="12" fillId="0" borderId="9" xfId="0" applyFont="1" applyBorder="1" applyAlignment="1" applyProtection="1">
      <alignment horizontal="left" vertical="top" indent="1"/>
      <protection locked="0"/>
    </xf>
    <xf numFmtId="0" fontId="12" fillId="0" borderId="11" xfId="0" applyFont="1" applyBorder="1" applyAlignment="1" applyProtection="1">
      <alignment horizontal="left" vertical="top" indent="1"/>
      <protection locked="0"/>
    </xf>
    <xf numFmtId="0" fontId="14" fillId="3" borderId="1" xfId="1" applyFont="1" applyFill="1" applyBorder="1" applyAlignment="1">
      <alignment horizontal="left" vertical="center" indent="1"/>
    </xf>
    <xf numFmtId="0" fontId="14" fillId="3" borderId="2" xfId="1" applyFont="1" applyFill="1" applyBorder="1" applyAlignment="1">
      <alignment horizontal="left" vertical="center" indent="1"/>
    </xf>
    <xf numFmtId="0" fontId="14" fillId="3" borderId="3" xfId="1" applyFont="1" applyFill="1" applyBorder="1" applyAlignment="1">
      <alignment horizontal="left" vertical="center" indent="1"/>
    </xf>
    <xf numFmtId="0" fontId="14" fillId="3" borderId="4" xfId="1" applyFont="1" applyFill="1" applyBorder="1" applyAlignment="1">
      <alignment horizontal="left" vertical="center" indent="1"/>
    </xf>
    <xf numFmtId="0" fontId="14" fillId="3" borderId="5" xfId="1" applyFont="1" applyFill="1" applyBorder="1" applyAlignment="1">
      <alignment horizontal="left" vertical="center" indent="1"/>
    </xf>
    <xf numFmtId="0" fontId="96" fillId="18" borderId="21" xfId="1" quotePrefix="1" applyFont="1" applyFill="1" applyBorder="1" applyAlignment="1">
      <alignment horizontal="center" vertical="center"/>
    </xf>
    <xf numFmtId="0" fontId="96" fillId="18" borderId="23" xfId="1" quotePrefix="1" applyFont="1" applyFill="1" applyBorder="1" applyAlignment="1">
      <alignment horizontal="center" vertical="center"/>
    </xf>
    <xf numFmtId="0" fontId="14" fillId="3" borderId="1" xfId="1" applyFont="1" applyFill="1" applyBorder="1" applyAlignment="1">
      <alignment horizontal="left" vertical="center" wrapText="1" indent="1"/>
    </xf>
    <xf numFmtId="0" fontId="14" fillId="3" borderId="2" xfId="1" applyFont="1" applyFill="1" applyBorder="1" applyAlignment="1">
      <alignment horizontal="left" vertical="center" wrapText="1" indent="1"/>
    </xf>
    <xf numFmtId="0" fontId="14" fillId="3" borderId="3" xfId="1" applyFont="1" applyFill="1" applyBorder="1" applyAlignment="1">
      <alignment horizontal="left" vertical="center" wrapText="1" indent="1"/>
    </xf>
    <xf numFmtId="0" fontId="14" fillId="0" borderId="4" xfId="1" applyFont="1" applyBorder="1" applyAlignment="1">
      <alignment horizontal="left" wrapText="1" indent="1"/>
    </xf>
    <xf numFmtId="0" fontId="14" fillId="0" borderId="0" xfId="1" applyFont="1" applyBorder="1" applyAlignment="1">
      <alignment horizontal="left" wrapText="1" indent="1"/>
    </xf>
    <xf numFmtId="0" fontId="14" fillId="0" borderId="5" xfId="1" applyFont="1" applyBorder="1" applyAlignment="1">
      <alignment horizontal="left" wrapText="1" indent="1"/>
    </xf>
    <xf numFmtId="0" fontId="7" fillId="2" borderId="0" xfId="0" applyFont="1" applyFill="1" applyAlignment="1">
      <alignment vertical="center"/>
    </xf>
    <xf numFmtId="0" fontId="8" fillId="3" borderId="0" xfId="0" applyFont="1" applyFill="1" applyAlignment="1" applyProtection="1">
      <alignment vertical="center"/>
      <protection locked="0"/>
    </xf>
    <xf numFmtId="176" fontId="8" fillId="3" borderId="0" xfId="0" applyNumberFormat="1" applyFont="1" applyFill="1" applyAlignment="1" applyProtection="1">
      <alignment horizontal="center" vertical="center"/>
      <protection locked="0"/>
    </xf>
    <xf numFmtId="49" fontId="8" fillId="3" borderId="0" xfId="0" applyNumberFormat="1" applyFont="1" applyFill="1" applyAlignment="1" applyProtection="1">
      <alignment vertical="center"/>
      <protection locked="0"/>
    </xf>
    <xf numFmtId="0" fontId="0" fillId="3" borderId="0" xfId="0" applyFill="1" applyAlignment="1">
      <alignment horizontal="left" vertical="top" wrapText="1"/>
    </xf>
    <xf numFmtId="0" fontId="0" fillId="0" borderId="0" xfId="0" applyAlignment="1">
      <alignment horizontal="left" vertical="top" wrapText="1"/>
    </xf>
    <xf numFmtId="0" fontId="94" fillId="18" borderId="21" xfId="1" quotePrefix="1" applyFont="1" applyFill="1" applyBorder="1" applyAlignment="1">
      <alignment horizontal="center" vertical="top"/>
    </xf>
    <xf numFmtId="0" fontId="94" fillId="18" borderId="23" xfId="1" quotePrefix="1" applyFont="1" applyFill="1" applyBorder="1" applyAlignment="1">
      <alignment horizontal="center" vertical="top"/>
    </xf>
    <xf numFmtId="0" fontId="9" fillId="18" borderId="21" xfId="1" quotePrefix="1" applyFill="1" applyBorder="1" applyAlignment="1">
      <alignment horizontal="center" vertical="center" wrapText="1"/>
    </xf>
    <xf numFmtId="0" fontId="9" fillId="18" borderId="23" xfId="1" quotePrefix="1" applyFill="1" applyBorder="1" applyAlignment="1">
      <alignment horizontal="center" vertical="center" wrapText="1"/>
    </xf>
    <xf numFmtId="0" fontId="0" fillId="3" borderId="54" xfId="0" applyFill="1" applyBorder="1" applyAlignment="1">
      <alignment horizontal="left" vertical="top" wrapText="1"/>
    </xf>
    <xf numFmtId="0" fontId="44" fillId="3" borderId="74" xfId="0" applyFont="1" applyFill="1" applyBorder="1" applyAlignment="1">
      <alignment horizontal="center" vertical="center" wrapText="1"/>
    </xf>
    <xf numFmtId="0" fontId="44" fillId="0" borderId="75" xfId="0" applyFont="1" applyBorder="1" applyAlignment="1">
      <alignment horizontal="center" vertical="center" wrapText="1"/>
    </xf>
    <xf numFmtId="0" fontId="44" fillId="0" borderId="76" xfId="0" applyFont="1" applyBorder="1" applyAlignment="1">
      <alignment horizontal="center" vertical="center" wrapText="1"/>
    </xf>
    <xf numFmtId="0" fontId="44" fillId="0" borderId="54" xfId="0" applyFont="1" applyBorder="1" applyAlignment="1">
      <alignment horizontal="center" vertical="center" wrapText="1"/>
    </xf>
    <xf numFmtId="0" fontId="44" fillId="0" borderId="0" xfId="0" applyFont="1" applyAlignment="1">
      <alignment horizontal="center" vertical="center" wrapText="1"/>
    </xf>
    <xf numFmtId="0" fontId="44" fillId="0" borderId="13"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15" xfId="0" applyFont="1" applyBorder="1" applyAlignment="1">
      <alignment horizontal="center" vertical="center" wrapText="1"/>
    </xf>
    <xf numFmtId="0" fontId="9" fillId="18" borderId="21" xfId="1" quotePrefix="1" applyFill="1" applyBorder="1" applyAlignment="1">
      <alignment horizontal="center" vertical="top"/>
    </xf>
    <xf numFmtId="0" fontId="9" fillId="18" borderId="23" xfId="1" quotePrefix="1" applyFill="1" applyBorder="1" applyAlignment="1">
      <alignment horizontal="center" vertical="top"/>
    </xf>
    <xf numFmtId="0" fontId="20" fillId="2" borderId="54" xfId="0" applyFont="1" applyFill="1" applyBorder="1" applyAlignment="1">
      <alignment horizontal="left" vertical="center" indent="1"/>
    </xf>
    <xf numFmtId="0" fontId="20" fillId="2" borderId="0" xfId="0" applyFont="1" applyFill="1" applyAlignment="1">
      <alignment horizontal="left" vertical="center" indent="1"/>
    </xf>
    <xf numFmtId="0" fontId="20" fillId="2" borderId="14" xfId="0" applyFont="1" applyFill="1" applyBorder="1" applyAlignment="1">
      <alignment horizontal="left" vertical="center" indent="1"/>
    </xf>
    <xf numFmtId="0" fontId="20" fillId="2" borderId="10" xfId="0" applyFont="1" applyFill="1" applyBorder="1" applyAlignment="1">
      <alignment horizontal="left" vertical="center" indent="1"/>
    </xf>
    <xf numFmtId="0" fontId="5" fillId="2" borderId="0" xfId="0" applyFont="1" applyFill="1" applyAlignment="1">
      <alignment horizontal="left" vertical="center" indent="1"/>
    </xf>
    <xf numFmtId="0" fontId="5" fillId="2" borderId="13" xfId="0" applyFont="1" applyFill="1" applyBorder="1" applyAlignment="1">
      <alignment horizontal="left" vertical="center" indent="1"/>
    </xf>
    <xf numFmtId="0" fontId="5" fillId="2" borderId="10" xfId="0" applyFont="1" applyFill="1" applyBorder="1" applyAlignment="1">
      <alignment horizontal="left" vertical="center" indent="1"/>
    </xf>
    <xf numFmtId="0" fontId="5" fillId="2" borderId="15" xfId="0" applyFont="1" applyFill="1" applyBorder="1" applyAlignment="1">
      <alignment horizontal="left" vertical="center" indent="1"/>
    </xf>
    <xf numFmtId="0" fontId="18" fillId="3" borderId="75" xfId="0" applyFont="1" applyFill="1" applyBorder="1" applyAlignment="1">
      <alignment horizontal="center" vertical="center" wrapText="1"/>
    </xf>
    <xf numFmtId="0" fontId="19" fillId="3" borderId="75" xfId="0" applyFont="1" applyFill="1" applyBorder="1" applyAlignment="1">
      <alignment horizontal="center" vertical="center" wrapText="1"/>
    </xf>
    <xf numFmtId="0" fontId="19" fillId="3" borderId="10" xfId="0" applyFont="1" applyFill="1" applyBorder="1" applyAlignment="1">
      <alignment horizontal="center" vertical="center" wrapText="1"/>
    </xf>
    <xf numFmtId="49" fontId="0" fillId="9" borderId="36" xfId="0" applyNumberFormat="1" applyFill="1" applyBorder="1" applyAlignment="1" applyProtection="1">
      <alignment horizontal="left" vertical="top" wrapText="1" indent="1"/>
      <protection locked="0"/>
    </xf>
    <xf numFmtId="49" fontId="0" fillId="9" borderId="37" xfId="0" applyNumberFormat="1" applyFill="1" applyBorder="1" applyAlignment="1" applyProtection="1">
      <alignment horizontal="left" vertical="top" wrapText="1" indent="1"/>
      <protection locked="0"/>
    </xf>
    <xf numFmtId="49" fontId="0" fillId="9" borderId="38" xfId="0" applyNumberFormat="1" applyFill="1" applyBorder="1" applyAlignment="1" applyProtection="1">
      <alignment horizontal="left" vertical="top" wrapText="1" indent="1"/>
      <protection locked="0"/>
    </xf>
    <xf numFmtId="49" fontId="0" fillId="9" borderId="40" xfId="0" applyNumberFormat="1" applyFill="1" applyBorder="1" applyAlignment="1" applyProtection="1">
      <alignment horizontal="left" vertical="top" wrapText="1" indent="1"/>
      <protection locked="0"/>
    </xf>
    <xf numFmtId="49" fontId="0" fillId="9" borderId="0" xfId="0" applyNumberFormat="1" applyFill="1" applyAlignment="1" applyProtection="1">
      <alignment horizontal="left" vertical="top" wrapText="1" indent="1"/>
      <protection locked="0"/>
    </xf>
    <xf numFmtId="49" fontId="0" fillId="9" borderId="41" xfId="0" applyNumberFormat="1" applyFill="1" applyBorder="1" applyAlignment="1" applyProtection="1">
      <alignment horizontal="left" vertical="top" wrapText="1" indent="1"/>
      <protection locked="0"/>
    </xf>
    <xf numFmtId="49" fontId="0" fillId="9" borderId="43" xfId="0" applyNumberFormat="1" applyFill="1" applyBorder="1" applyAlignment="1" applyProtection="1">
      <alignment horizontal="left" vertical="top" wrapText="1" indent="1"/>
      <protection locked="0"/>
    </xf>
    <xf numFmtId="49" fontId="0" fillId="9" borderId="44" xfId="0" applyNumberFormat="1" applyFill="1" applyBorder="1" applyAlignment="1" applyProtection="1">
      <alignment horizontal="left" vertical="top" wrapText="1" indent="1"/>
      <protection locked="0"/>
    </xf>
    <xf numFmtId="49" fontId="0" fillId="9" borderId="45" xfId="0" applyNumberFormat="1" applyFill="1" applyBorder="1" applyAlignment="1" applyProtection="1">
      <alignment horizontal="left" vertical="top" wrapText="1" indent="1"/>
      <protection locked="0"/>
    </xf>
    <xf numFmtId="0" fontId="10" fillId="2" borderId="54" xfId="0" applyFont="1" applyFill="1" applyBorder="1" applyAlignment="1">
      <alignment horizontal="left" vertical="center" wrapText="1" indent="1"/>
    </xf>
    <xf numFmtId="0" fontId="10" fillId="2" borderId="0" xfId="0" applyFont="1" applyFill="1" applyAlignment="1">
      <alignment horizontal="left" vertical="center" wrapText="1" indent="1"/>
    </xf>
    <xf numFmtId="0" fontId="15" fillId="2" borderId="0" xfId="0" applyFont="1" applyFill="1" applyAlignment="1">
      <alignment horizontal="left" wrapText="1" indent="1"/>
    </xf>
    <xf numFmtId="0" fontId="15" fillId="2" borderId="13" xfId="0" applyFont="1" applyFill="1" applyBorder="1" applyAlignment="1">
      <alignment horizontal="left" wrapText="1" indent="1"/>
    </xf>
    <xf numFmtId="0" fontId="9" fillId="2" borderId="0" xfId="1" applyFill="1" applyAlignment="1" applyProtection="1"/>
    <xf numFmtId="0" fontId="0" fillId="2" borderId="54" xfId="0" applyFill="1" applyBorder="1" applyAlignment="1">
      <alignment horizontal="left" vertical="top" wrapText="1" indent="1"/>
    </xf>
    <xf numFmtId="0" fontId="0" fillId="2" borderId="0" xfId="0" applyFill="1" applyAlignment="1">
      <alignment horizontal="left" vertical="top" wrapText="1" indent="1"/>
    </xf>
    <xf numFmtId="0" fontId="0" fillId="2" borderId="13" xfId="0" applyFill="1" applyBorder="1" applyAlignment="1">
      <alignment horizontal="left" vertical="top" wrapText="1" indent="1"/>
    </xf>
    <xf numFmtId="0" fontId="0" fillId="0" borderId="54" xfId="0" applyBorder="1" applyAlignment="1" applyProtection="1">
      <alignment horizontal="left" vertical="top" wrapText="1" indent="1"/>
      <protection locked="0"/>
    </xf>
    <xf numFmtId="0" fontId="0" fillId="0" borderId="13" xfId="0" applyBorder="1" applyAlignment="1" applyProtection="1">
      <alignment horizontal="left" vertical="top" wrapText="1" indent="1"/>
      <protection locked="0"/>
    </xf>
    <xf numFmtId="0" fontId="0" fillId="0" borderId="14" xfId="0" applyBorder="1" applyAlignment="1" applyProtection="1">
      <alignment horizontal="left" vertical="top" wrapText="1" indent="1"/>
      <protection locked="0"/>
    </xf>
    <xf numFmtId="0" fontId="0" fillId="0" borderId="15" xfId="0" applyBorder="1" applyAlignment="1" applyProtection="1">
      <alignment horizontal="left" vertical="top" wrapText="1" indent="1"/>
      <protection locked="0"/>
    </xf>
    <xf numFmtId="0" fontId="20" fillId="2" borderId="74" xfId="0" applyFont="1" applyFill="1" applyBorder="1" applyAlignment="1">
      <alignment horizontal="left" vertical="center" indent="1"/>
    </xf>
    <xf numFmtId="0" fontId="20" fillId="2" borderId="75" xfId="0" applyFont="1" applyFill="1" applyBorder="1" applyAlignment="1">
      <alignment horizontal="left" vertical="center" indent="1"/>
    </xf>
    <xf numFmtId="0" fontId="5" fillId="2" borderId="75" xfId="0" applyFont="1" applyFill="1" applyBorder="1" applyAlignment="1">
      <alignment horizontal="left" vertical="center" indent="1"/>
    </xf>
    <xf numFmtId="0" fontId="5" fillId="2" borderId="76" xfId="0" applyFont="1" applyFill="1" applyBorder="1" applyAlignment="1">
      <alignment horizontal="left" vertical="center" indent="1"/>
    </xf>
    <xf numFmtId="0" fontId="21" fillId="6" borderId="74" xfId="0" applyFont="1" applyFill="1" applyBorder="1" applyAlignment="1">
      <alignment horizontal="left" vertical="center" indent="1"/>
    </xf>
    <xf numFmtId="0" fontId="21" fillId="6" borderId="75" xfId="0" applyFont="1" applyFill="1" applyBorder="1" applyAlignment="1">
      <alignment horizontal="left" vertical="center" indent="1"/>
    </xf>
    <xf numFmtId="0" fontId="22" fillId="6" borderId="75" xfId="0" applyFont="1" applyFill="1" applyBorder="1" applyAlignment="1">
      <alignment horizontal="left" vertical="center" indent="1"/>
    </xf>
    <xf numFmtId="0" fontId="22" fillId="6" borderId="76" xfId="0" applyFont="1" applyFill="1" applyBorder="1" applyAlignment="1">
      <alignment horizontal="left" vertical="center" indent="1"/>
    </xf>
    <xf numFmtId="0" fontId="21" fillId="6" borderId="54" xfId="0" applyFont="1" applyFill="1" applyBorder="1" applyAlignment="1">
      <alignment horizontal="left" vertical="center" indent="1"/>
    </xf>
    <xf numFmtId="0" fontId="21" fillId="6" borderId="0" xfId="0" applyFont="1" applyFill="1" applyAlignment="1">
      <alignment horizontal="left" vertical="center" indent="1"/>
    </xf>
    <xf numFmtId="0" fontId="22" fillId="6" borderId="0" xfId="0" applyFont="1" applyFill="1" applyAlignment="1">
      <alignment horizontal="left" vertical="center" indent="1"/>
    </xf>
    <xf numFmtId="0" fontId="22" fillId="6" borderId="13" xfId="0" applyFont="1" applyFill="1" applyBorder="1" applyAlignment="1">
      <alignment horizontal="left" vertical="center" indent="1"/>
    </xf>
    <xf numFmtId="0" fontId="9" fillId="3" borderId="0" xfId="1" applyFill="1" applyAlignment="1" applyProtection="1">
      <alignment vertical="center"/>
    </xf>
    <xf numFmtId="0" fontId="9" fillId="0" borderId="0" xfId="1" applyAlignment="1" applyProtection="1">
      <alignment vertical="center"/>
    </xf>
    <xf numFmtId="0" fontId="17" fillId="5" borderId="74" xfId="0" applyFont="1" applyFill="1" applyBorder="1" applyAlignment="1">
      <alignment horizontal="left" vertical="center" indent="1"/>
    </xf>
    <xf numFmtId="0" fontId="17" fillId="5" borderId="75" xfId="0" applyFont="1" applyFill="1" applyBorder="1" applyAlignment="1">
      <alignment horizontal="left" vertical="center" indent="1"/>
    </xf>
    <xf numFmtId="0" fontId="17" fillId="5" borderId="54" xfId="0" applyFont="1" applyFill="1" applyBorder="1" applyAlignment="1">
      <alignment horizontal="left" vertical="center" indent="1"/>
    </xf>
    <xf numFmtId="0" fontId="17" fillId="5" borderId="0" xfId="0" applyFont="1" applyFill="1" applyAlignment="1">
      <alignment horizontal="left" vertical="center" indent="1"/>
    </xf>
    <xf numFmtId="0" fontId="17" fillId="6" borderId="74" xfId="0" applyFont="1" applyFill="1" applyBorder="1" applyAlignment="1">
      <alignment horizontal="left" vertical="center" indent="1"/>
    </xf>
    <xf numFmtId="0" fontId="17" fillId="6" borderId="75" xfId="0" applyFont="1" applyFill="1" applyBorder="1" applyAlignment="1">
      <alignment horizontal="left" vertical="center" indent="1"/>
    </xf>
    <xf numFmtId="0" fontId="17" fillId="6" borderId="76" xfId="0" applyFont="1" applyFill="1" applyBorder="1" applyAlignment="1">
      <alignment horizontal="left" vertical="center" indent="1"/>
    </xf>
    <xf numFmtId="0" fontId="17" fillId="6" borderId="54" xfId="0" applyFont="1" applyFill="1" applyBorder="1" applyAlignment="1">
      <alignment horizontal="left" vertical="center" indent="1"/>
    </xf>
    <xf numFmtId="0" fontId="17" fillId="6" borderId="0" xfId="0" applyFont="1" applyFill="1" applyAlignment="1">
      <alignment horizontal="left" vertical="center" indent="1"/>
    </xf>
    <xf numFmtId="0" fontId="17" fillId="6" borderId="13" xfId="0" applyFont="1" applyFill="1" applyBorder="1" applyAlignment="1">
      <alignment horizontal="left" vertical="center" indent="1"/>
    </xf>
    <xf numFmtId="0" fontId="17" fillId="7" borderId="74" xfId="0" applyFont="1" applyFill="1" applyBorder="1" applyAlignment="1">
      <alignment horizontal="left" vertical="center" indent="1"/>
    </xf>
    <xf numFmtId="0" fontId="17" fillId="7" borderId="75" xfId="0" applyFont="1" applyFill="1" applyBorder="1" applyAlignment="1">
      <alignment horizontal="left" vertical="center" indent="1"/>
    </xf>
    <xf numFmtId="0" fontId="17" fillId="7" borderId="76" xfId="0" applyFont="1" applyFill="1" applyBorder="1" applyAlignment="1">
      <alignment horizontal="left" vertical="center" indent="1"/>
    </xf>
    <xf numFmtId="0" fontId="17" fillId="7" borderId="54" xfId="0" applyFont="1" applyFill="1" applyBorder="1" applyAlignment="1">
      <alignment horizontal="left" vertical="center" indent="1"/>
    </xf>
    <xf numFmtId="0" fontId="17" fillId="7" borderId="0" xfId="0" applyFont="1" applyFill="1" applyAlignment="1">
      <alignment horizontal="left" vertical="center" indent="1"/>
    </xf>
    <xf numFmtId="0" fontId="17" fillId="7" borderId="13" xfId="0" applyFont="1" applyFill="1" applyBorder="1" applyAlignment="1">
      <alignment horizontal="left" vertical="center" indent="1"/>
    </xf>
    <xf numFmtId="0" fontId="8" fillId="3" borderId="0" xfId="0" applyFont="1" applyFill="1" applyAlignment="1">
      <alignment vertical="center"/>
    </xf>
    <xf numFmtId="0" fontId="0" fillId="0" borderId="0" xfId="0" applyAlignment="1">
      <alignment vertical="center"/>
    </xf>
    <xf numFmtId="167" fontId="8" fillId="3" borderId="0" xfId="0" applyNumberFormat="1" applyFont="1" applyFill="1" applyAlignment="1">
      <alignment horizontal="center" vertical="center"/>
    </xf>
    <xf numFmtId="0" fontId="46" fillId="3" borderId="0" xfId="1" applyFont="1" applyFill="1" applyAlignment="1" applyProtection="1">
      <alignment vertical="center"/>
    </xf>
    <xf numFmtId="0" fontId="46" fillId="0" borderId="0" xfId="1" applyFont="1" applyAlignment="1" applyProtection="1">
      <alignment vertical="center"/>
    </xf>
    <xf numFmtId="0" fontId="49" fillId="2" borderId="54" xfId="0" applyFont="1" applyFill="1" applyBorder="1" applyAlignment="1">
      <alignment horizontal="center" vertical="center" wrapText="1"/>
    </xf>
    <xf numFmtId="0" fontId="15" fillId="0" borderId="0" xfId="0" applyFont="1" applyAlignment="1">
      <alignment horizontal="center" vertical="center" wrapText="1"/>
    </xf>
    <xf numFmtId="0" fontId="15" fillId="0" borderId="54" xfId="0" applyFont="1" applyBorder="1" applyAlignment="1">
      <alignment horizontal="center" vertical="center" wrapText="1"/>
    </xf>
    <xf numFmtId="0" fontId="94" fillId="18" borderId="21" xfId="1" quotePrefix="1" applyFont="1" applyFill="1" applyBorder="1" applyAlignment="1">
      <alignment horizontal="center" vertical="center"/>
    </xf>
    <xf numFmtId="0" fontId="94" fillId="18" borderId="23" xfId="1" quotePrefix="1" applyFont="1" applyFill="1" applyBorder="1" applyAlignment="1">
      <alignment horizontal="center" vertical="center"/>
    </xf>
    <xf numFmtId="49" fontId="5" fillId="3" borderId="54" xfId="0" applyNumberFormat="1" applyFont="1" applyFill="1" applyBorder="1" applyAlignment="1" applyProtection="1">
      <alignment horizontal="left" vertical="top" wrapText="1" indent="1"/>
      <protection locked="0"/>
    </xf>
    <xf numFmtId="49" fontId="5" fillId="3" borderId="0" xfId="0" applyNumberFormat="1" applyFont="1" applyFill="1" applyAlignment="1" applyProtection="1">
      <alignment horizontal="left" vertical="top" wrapText="1" indent="1"/>
      <protection locked="0"/>
    </xf>
    <xf numFmtId="49" fontId="5" fillId="3" borderId="13" xfId="0" applyNumberFormat="1" applyFont="1" applyFill="1" applyBorder="1" applyAlignment="1" applyProtection="1">
      <alignment horizontal="left" vertical="top" wrapText="1" indent="1"/>
      <protection locked="0"/>
    </xf>
    <xf numFmtId="49" fontId="0" fillId="0" borderId="54" xfId="0" applyNumberFormat="1" applyBorder="1" applyAlignment="1" applyProtection="1">
      <alignment horizontal="left" vertical="top" wrapText="1" indent="1"/>
      <protection locked="0"/>
    </xf>
    <xf numFmtId="49" fontId="0" fillId="0" borderId="0" xfId="0" applyNumberFormat="1" applyAlignment="1" applyProtection="1">
      <alignment horizontal="left" vertical="top" wrapText="1" indent="1"/>
      <protection locked="0"/>
    </xf>
    <xf numFmtId="49" fontId="0" fillId="0" borderId="13" xfId="0" applyNumberFormat="1" applyBorder="1" applyAlignment="1" applyProtection="1">
      <alignment horizontal="left" vertical="top" wrapText="1" indent="1"/>
      <protection locked="0"/>
    </xf>
    <xf numFmtId="49" fontId="0" fillId="0" borderId="14" xfId="0" applyNumberFormat="1" applyBorder="1" applyAlignment="1" applyProtection="1">
      <alignment horizontal="left" vertical="top" wrapText="1" indent="1"/>
      <protection locked="0"/>
    </xf>
    <xf numFmtId="49" fontId="0" fillId="0" borderId="10" xfId="0" applyNumberFormat="1" applyBorder="1" applyAlignment="1" applyProtection="1">
      <alignment horizontal="left" vertical="top" wrapText="1" indent="1"/>
      <protection locked="0"/>
    </xf>
    <xf numFmtId="49" fontId="0" fillId="0" borderId="15" xfId="0" applyNumberFormat="1" applyBorder="1" applyAlignment="1" applyProtection="1">
      <alignment horizontal="left" vertical="top" wrapText="1" indent="1"/>
      <protection locked="0"/>
    </xf>
    <xf numFmtId="49" fontId="5" fillId="3" borderId="54" xfId="0" applyNumberFormat="1" applyFont="1" applyFill="1" applyBorder="1" applyAlignment="1" applyProtection="1">
      <alignment horizontal="left" vertical="center" wrapText="1" indent="1"/>
      <protection locked="0"/>
    </xf>
    <xf numFmtId="49" fontId="5" fillId="3" borderId="0" xfId="0" applyNumberFormat="1" applyFont="1" applyFill="1" applyAlignment="1" applyProtection="1">
      <alignment horizontal="left" vertical="center" wrapText="1" indent="1"/>
      <protection locked="0"/>
    </xf>
    <xf numFmtId="49" fontId="5" fillId="3" borderId="13" xfId="0" applyNumberFormat="1" applyFont="1" applyFill="1" applyBorder="1" applyAlignment="1" applyProtection="1">
      <alignment horizontal="left" vertical="center" wrapText="1" indent="1"/>
      <protection locked="0"/>
    </xf>
    <xf numFmtId="49" fontId="0" fillId="0" borderId="54" xfId="0" applyNumberFormat="1" applyBorder="1" applyAlignment="1" applyProtection="1">
      <alignment horizontal="left" vertical="center" wrapText="1" indent="1"/>
      <protection locked="0"/>
    </xf>
    <xf numFmtId="49" fontId="0" fillId="0" borderId="0" xfId="0" applyNumberFormat="1" applyAlignment="1" applyProtection="1">
      <alignment horizontal="left" vertical="center" wrapText="1" indent="1"/>
      <protection locked="0"/>
    </xf>
    <xf numFmtId="49" fontId="0" fillId="0" borderId="13" xfId="0" applyNumberFormat="1" applyBorder="1" applyAlignment="1" applyProtection="1">
      <alignment horizontal="left" vertical="center" wrapText="1" indent="1"/>
      <protection locked="0"/>
    </xf>
    <xf numFmtId="49" fontId="0" fillId="0" borderId="14" xfId="0" applyNumberFormat="1" applyBorder="1" applyAlignment="1" applyProtection="1">
      <alignment horizontal="left" vertical="center" wrapText="1" indent="1"/>
      <protection locked="0"/>
    </xf>
    <xf numFmtId="49" fontId="0" fillId="0" borderId="10" xfId="0" applyNumberFormat="1" applyBorder="1" applyAlignment="1" applyProtection="1">
      <alignment horizontal="left" vertical="center" wrapText="1" indent="1"/>
      <protection locked="0"/>
    </xf>
    <xf numFmtId="49" fontId="0" fillId="0" borderId="15" xfId="0" applyNumberFormat="1" applyBorder="1" applyAlignment="1" applyProtection="1">
      <alignment horizontal="left" vertical="center" wrapText="1" indent="1"/>
      <protection locked="0"/>
    </xf>
    <xf numFmtId="0" fontId="17" fillId="8" borderId="74" xfId="0" applyFont="1" applyFill="1" applyBorder="1" applyAlignment="1">
      <alignment horizontal="left" vertical="center" indent="1"/>
    </xf>
    <xf numFmtId="0" fontId="17" fillId="8" borderId="75" xfId="0" applyFont="1" applyFill="1" applyBorder="1" applyAlignment="1">
      <alignment horizontal="left" vertical="center" indent="1"/>
    </xf>
    <xf numFmtId="0" fontId="17" fillId="8" borderId="76" xfId="0" applyFont="1" applyFill="1" applyBorder="1" applyAlignment="1">
      <alignment horizontal="left" vertical="center" indent="1"/>
    </xf>
    <xf numFmtId="0" fontId="17" fillId="8" borderId="54" xfId="0" applyFont="1" applyFill="1" applyBorder="1" applyAlignment="1">
      <alignment horizontal="left" vertical="center" indent="1"/>
    </xf>
    <xf numFmtId="0" fontId="17" fillId="8" borderId="0" xfId="0" applyFont="1" applyFill="1" applyAlignment="1">
      <alignment horizontal="left" vertical="center" indent="1"/>
    </xf>
    <xf numFmtId="0" fontId="17" fillId="8" borderId="13" xfId="0" applyFont="1" applyFill="1" applyBorder="1" applyAlignment="1">
      <alignment horizontal="left" vertical="center" indent="1"/>
    </xf>
    <xf numFmtId="0" fontId="9" fillId="16" borderId="21" xfId="1" quotePrefix="1" applyFill="1" applyBorder="1" applyAlignment="1">
      <alignment horizontal="center" vertical="center"/>
    </xf>
    <xf numFmtId="0" fontId="9" fillId="16" borderId="22" xfId="1" quotePrefix="1" applyFill="1" applyBorder="1" applyAlignment="1">
      <alignment horizontal="center" vertical="center"/>
    </xf>
    <xf numFmtId="0" fontId="9" fillId="16" borderId="23" xfId="1" quotePrefix="1" applyFill="1" applyBorder="1" applyAlignment="1">
      <alignment horizontal="center" vertical="center"/>
    </xf>
    <xf numFmtId="0" fontId="57" fillId="0" borderId="0" xfId="0" applyFont="1" applyAlignment="1">
      <alignment horizontal="center" vertical="center"/>
    </xf>
    <xf numFmtId="0" fontId="57" fillId="3" borderId="0" xfId="0" applyFont="1" applyFill="1" applyAlignment="1">
      <alignment horizontal="center" vertical="center"/>
    </xf>
    <xf numFmtId="0" fontId="58" fillId="3" borderId="65" xfId="5" applyFont="1" applyFill="1" applyBorder="1" applyAlignment="1" applyProtection="1">
      <alignment horizontal="center" vertical="center" wrapText="1"/>
    </xf>
    <xf numFmtId="0" fontId="57" fillId="3" borderId="65" xfId="0" applyFont="1" applyFill="1" applyBorder="1" applyAlignment="1">
      <alignment horizontal="center" vertical="center" wrapText="1"/>
    </xf>
    <xf numFmtId="0" fontId="59" fillId="0" borderId="58" xfId="0" applyFont="1" applyBorder="1" applyAlignment="1">
      <alignment horizontal="left" vertical="center" wrapText="1" indent="1"/>
    </xf>
    <xf numFmtId="0" fontId="59" fillId="0" borderId="59" xfId="0" applyFont="1" applyBorder="1" applyAlignment="1">
      <alignment horizontal="left" vertical="center" wrapText="1" indent="1"/>
    </xf>
    <xf numFmtId="0" fontId="59" fillId="0" borderId="60" xfId="0" applyFont="1" applyBorder="1" applyAlignment="1">
      <alignment horizontal="left" vertical="center" wrapText="1" indent="1"/>
    </xf>
    <xf numFmtId="0" fontId="61" fillId="0" borderId="59" xfId="0" applyFont="1" applyBorder="1" applyAlignment="1">
      <alignment horizontal="left" vertical="center" wrapText="1" indent="1"/>
    </xf>
    <xf numFmtId="0" fontId="61" fillId="0" borderId="60" xfId="0" applyFont="1" applyBorder="1" applyAlignment="1">
      <alignment horizontal="left" vertical="center" wrapText="1" indent="1"/>
    </xf>
    <xf numFmtId="168" fontId="86" fillId="3" borderId="16" xfId="0" applyNumberFormat="1" applyFont="1" applyFill="1" applyBorder="1" applyAlignment="1">
      <alignment horizontal="center" vertical="center" wrapText="1"/>
    </xf>
    <xf numFmtId="168" fontId="86" fillId="0" borderId="16" xfId="0" applyNumberFormat="1" applyFont="1" applyBorder="1" applyAlignment="1">
      <alignment horizontal="center" vertical="center" wrapText="1"/>
    </xf>
    <xf numFmtId="0" fontId="86" fillId="3" borderId="10" xfId="0" applyFont="1" applyFill="1" applyBorder="1" applyAlignment="1">
      <alignment horizontal="center" vertical="center" wrapText="1"/>
    </xf>
    <xf numFmtId="0" fontId="91" fillId="0" borderId="10" xfId="0" applyFont="1" applyBorder="1" applyAlignment="1">
      <alignment horizontal="center" vertical="center" wrapText="1"/>
    </xf>
    <xf numFmtId="0" fontId="57" fillId="3" borderId="21" xfId="0" applyFont="1" applyFill="1" applyBorder="1" applyAlignment="1">
      <alignment horizontal="left" vertical="center" wrapText="1"/>
    </xf>
    <xf numFmtId="0" fontId="57" fillId="0" borderId="22" xfId="0" applyFont="1" applyBorder="1" applyAlignment="1">
      <alignment horizontal="left" vertical="center" wrapText="1"/>
    </xf>
    <xf numFmtId="0" fontId="57" fillId="0" borderId="23" xfId="0" applyFont="1" applyBorder="1" applyAlignment="1">
      <alignment horizontal="left" vertical="center" wrapText="1"/>
    </xf>
    <xf numFmtId="168" fontId="57" fillId="3" borderId="16" xfId="0" applyNumberFormat="1" applyFont="1" applyFill="1" applyBorder="1" applyAlignment="1">
      <alignment horizontal="center" vertical="center" wrapText="1"/>
    </xf>
    <xf numFmtId="168" fontId="57" fillId="0" borderId="16" xfId="0" applyNumberFormat="1" applyFont="1" applyBorder="1" applyAlignment="1">
      <alignment horizontal="center" vertical="center" wrapText="1"/>
    </xf>
    <xf numFmtId="0" fontId="78" fillId="3" borderId="10" xfId="0" applyFont="1" applyFill="1" applyBorder="1" applyAlignment="1">
      <alignment horizontal="center" vertical="center"/>
    </xf>
    <xf numFmtId="0" fontId="57" fillId="0" borderId="10" xfId="0" applyFont="1" applyBorder="1" applyAlignment="1">
      <alignment horizontal="center" vertical="center"/>
    </xf>
    <xf numFmtId="0" fontId="78" fillId="3" borderId="21" xfId="0" applyFont="1" applyFill="1" applyBorder="1" applyAlignment="1">
      <alignment horizontal="left" vertical="center" wrapText="1"/>
    </xf>
    <xf numFmtId="3" fontId="78" fillId="10" borderId="16" xfId="0" applyNumberFormat="1" applyFont="1" applyFill="1" applyBorder="1" applyAlignment="1" applyProtection="1">
      <alignment horizontal="center" vertical="center" wrapText="1"/>
      <protection locked="0"/>
    </xf>
    <xf numFmtId="0" fontId="57" fillId="0" borderId="16" xfId="0" applyFont="1" applyBorder="1" applyAlignment="1" applyProtection="1">
      <alignment wrapText="1"/>
      <protection locked="0"/>
    </xf>
    <xf numFmtId="0" fontId="78" fillId="3" borderId="10" xfId="0" applyFont="1" applyFill="1" applyBorder="1" applyAlignment="1">
      <alignment horizontal="center" vertical="center" wrapText="1"/>
    </xf>
    <xf numFmtId="0" fontId="57" fillId="0" borderId="10" xfId="0" applyFont="1" applyBorder="1" applyAlignment="1">
      <alignment horizontal="center" vertical="center" wrapText="1"/>
    </xf>
    <xf numFmtId="0" fontId="76" fillId="3" borderId="0" xfId="0" applyFont="1" applyFill="1" applyAlignment="1">
      <alignment wrapText="1"/>
    </xf>
    <xf numFmtId="0" fontId="57" fillId="0" borderId="0" xfId="0" applyFont="1" applyAlignment="1">
      <alignment wrapText="1"/>
    </xf>
    <xf numFmtId="168" fontId="57" fillId="3" borderId="21" xfId="0" applyNumberFormat="1" applyFont="1" applyFill="1" applyBorder="1" applyAlignment="1">
      <alignment horizontal="center" vertical="center" wrapText="1"/>
    </xf>
    <xf numFmtId="168" fontId="57" fillId="3" borderId="23" xfId="0" applyNumberFormat="1" applyFont="1" applyFill="1" applyBorder="1" applyAlignment="1">
      <alignment horizontal="center" vertical="center" wrapText="1"/>
    </xf>
    <xf numFmtId="168" fontId="57" fillId="10" borderId="16" xfId="0" applyNumberFormat="1" applyFont="1" applyFill="1" applyBorder="1" applyAlignment="1" applyProtection="1">
      <alignment horizontal="center" vertical="center" wrapText="1"/>
      <protection locked="0"/>
    </xf>
    <xf numFmtId="0" fontId="78" fillId="3" borderId="22" xfId="0" applyFont="1" applyFill="1" applyBorder="1" applyAlignment="1">
      <alignment horizontal="left" vertical="center" wrapText="1"/>
    </xf>
    <xf numFmtId="0" fontId="78" fillId="3" borderId="23" xfId="0" applyFont="1" applyFill="1" applyBorder="1" applyAlignment="1">
      <alignment horizontal="left" vertical="center" wrapText="1"/>
    </xf>
    <xf numFmtId="0" fontId="78" fillId="3" borderId="21" xfId="7" applyFont="1" applyFill="1" applyBorder="1" applyAlignment="1">
      <alignment horizontal="left" vertical="center" wrapText="1"/>
    </xf>
    <xf numFmtId="0" fontId="78" fillId="3" borderId="22" xfId="7" applyFont="1" applyFill="1" applyBorder="1" applyAlignment="1">
      <alignment horizontal="left" vertical="center" wrapText="1"/>
    </xf>
    <xf numFmtId="3" fontId="78" fillId="2" borderId="21" xfId="7" applyNumberFormat="1" applyFont="1" applyFill="1" applyBorder="1" applyAlignment="1" applyProtection="1">
      <alignment horizontal="center" vertical="center" wrapText="1"/>
      <protection locked="0"/>
    </xf>
    <xf numFmtId="3" fontId="78" fillId="2" borderId="22" xfId="7" applyNumberFormat="1" applyFont="1" applyFill="1" applyBorder="1" applyAlignment="1" applyProtection="1">
      <alignment horizontal="center" vertical="center" wrapText="1"/>
      <protection locked="0"/>
    </xf>
    <xf numFmtId="3" fontId="78" fillId="2" borderId="23" xfId="7" applyNumberFormat="1" applyFont="1" applyFill="1" applyBorder="1" applyAlignment="1" applyProtection="1">
      <alignment horizontal="center" vertical="center" wrapText="1"/>
      <protection locked="0"/>
    </xf>
    <xf numFmtId="0" fontId="78" fillId="10" borderId="21" xfId="7" applyFont="1" applyFill="1" applyBorder="1" applyAlignment="1" applyProtection="1">
      <alignment horizontal="center"/>
      <protection locked="0"/>
    </xf>
    <xf numFmtId="0" fontId="78" fillId="10" borderId="22" xfId="7" applyFont="1" applyFill="1" applyBorder="1" applyAlignment="1" applyProtection="1">
      <alignment horizontal="center"/>
      <protection locked="0"/>
    </xf>
    <xf numFmtId="0" fontId="78" fillId="10" borderId="23" xfId="7" applyFont="1" applyFill="1" applyBorder="1" applyAlignment="1" applyProtection="1">
      <alignment horizontal="center"/>
      <protection locked="0"/>
    </xf>
    <xf numFmtId="0" fontId="78" fillId="16" borderId="70" xfId="8" applyFont="1" applyFill="1" applyBorder="1" applyAlignment="1">
      <alignment horizontal="left"/>
    </xf>
    <xf numFmtId="0" fontId="78" fillId="16" borderId="71" xfId="8" applyFont="1" applyFill="1" applyBorder="1" applyAlignment="1">
      <alignment horizontal="left"/>
    </xf>
    <xf numFmtId="0" fontId="78" fillId="3" borderId="0" xfId="8" applyFont="1" applyFill="1" applyAlignment="1">
      <alignment horizontal="left"/>
    </xf>
    <xf numFmtId="172" fontId="78" fillId="10" borderId="21" xfId="7" applyNumberFormat="1" applyFont="1" applyFill="1" applyBorder="1" applyAlignment="1" applyProtection="1">
      <alignment horizontal="center"/>
      <protection locked="0"/>
    </xf>
    <xf numFmtId="172" fontId="78" fillId="10" borderId="22" xfId="7" applyNumberFormat="1" applyFont="1" applyFill="1" applyBorder="1" applyAlignment="1" applyProtection="1">
      <alignment horizontal="center"/>
      <protection locked="0"/>
    </xf>
    <xf numFmtId="172" fontId="78" fillId="10" borderId="23" xfId="7" applyNumberFormat="1" applyFont="1" applyFill="1" applyBorder="1" applyAlignment="1" applyProtection="1">
      <alignment horizontal="center"/>
      <protection locked="0"/>
    </xf>
    <xf numFmtId="0" fontId="86" fillId="16" borderId="20" xfId="8" applyFont="1" applyFill="1" applyBorder="1" applyAlignment="1">
      <alignment horizontal="left"/>
    </xf>
    <xf numFmtId="0" fontId="86" fillId="16" borderId="0" xfId="8" applyFont="1" applyFill="1" applyAlignment="1">
      <alignment horizontal="left"/>
    </xf>
    <xf numFmtId="0" fontId="86" fillId="16" borderId="24" xfId="8" applyFont="1" applyFill="1" applyBorder="1" applyAlignment="1">
      <alignment horizontal="left"/>
    </xf>
    <xf numFmtId="0" fontId="57" fillId="3" borderId="20" xfId="8" applyFont="1" applyFill="1" applyBorder="1" applyAlignment="1">
      <alignment horizontal="left"/>
    </xf>
    <xf numFmtId="0" fontId="57" fillId="3" borderId="0" xfId="8" applyFont="1" applyFill="1" applyAlignment="1">
      <alignment horizontal="left"/>
    </xf>
    <xf numFmtId="0" fontId="83" fillId="3" borderId="0" xfId="8" applyFont="1" applyFill="1" applyAlignment="1">
      <alignment horizontal="left"/>
    </xf>
    <xf numFmtId="0" fontId="83" fillId="3" borderId="24" xfId="8" applyFont="1" applyFill="1" applyBorder="1" applyAlignment="1">
      <alignment horizontal="left"/>
    </xf>
    <xf numFmtId="0" fontId="87" fillId="0" borderId="0" xfId="6" applyFont="1" applyAlignment="1">
      <alignment horizontal="left"/>
    </xf>
    <xf numFmtId="0" fontId="85" fillId="2" borderId="16" xfId="6" applyFont="1" applyFill="1" applyBorder="1" applyAlignment="1" applyProtection="1">
      <alignment horizontal="center"/>
      <protection locked="0"/>
    </xf>
    <xf numFmtId="0" fontId="86" fillId="5" borderId="0" xfId="6" applyFont="1" applyFill="1" applyAlignment="1">
      <alignment horizontal="center"/>
    </xf>
    <xf numFmtId="168" fontId="86" fillId="13" borderId="73" xfId="6" applyNumberFormat="1" applyFont="1" applyFill="1" applyBorder="1" applyAlignment="1">
      <alignment horizontal="center"/>
    </xf>
    <xf numFmtId="168" fontId="86" fillId="13" borderId="53" xfId="6" applyNumberFormat="1" applyFont="1" applyFill="1" applyBorder="1" applyAlignment="1">
      <alignment horizontal="center"/>
    </xf>
    <xf numFmtId="0" fontId="86" fillId="16" borderId="70" xfId="8" applyFont="1" applyFill="1" applyBorder="1" applyAlignment="1">
      <alignment horizontal="left"/>
    </xf>
    <xf numFmtId="0" fontId="86" fillId="16" borderId="72" xfId="8" applyFont="1" applyFill="1" applyBorder="1" applyAlignment="1">
      <alignment horizontal="left"/>
    </xf>
    <xf numFmtId="0" fontId="78" fillId="2" borderId="21" xfId="7" applyFont="1" applyFill="1" applyBorder="1" applyAlignment="1" applyProtection="1">
      <alignment horizontal="center"/>
      <protection locked="0"/>
    </xf>
    <xf numFmtId="0" fontId="78" fillId="2" borderId="22" xfId="7" applyFont="1" applyFill="1" applyBorder="1" applyAlignment="1" applyProtection="1">
      <alignment horizontal="center"/>
      <protection locked="0"/>
    </xf>
    <xf numFmtId="0" fontId="78" fillId="2" borderId="23" xfId="7" applyFont="1" applyFill="1" applyBorder="1" applyAlignment="1" applyProtection="1">
      <alignment horizontal="center"/>
      <protection locked="0"/>
    </xf>
    <xf numFmtId="172" fontId="78" fillId="2" borderId="21" xfId="7" applyNumberFormat="1" applyFont="1" applyFill="1" applyBorder="1" applyAlignment="1" applyProtection="1">
      <alignment horizontal="center"/>
      <protection locked="0"/>
    </xf>
    <xf numFmtId="172" fontId="78" fillId="2" borderId="22" xfId="7" applyNumberFormat="1" applyFont="1" applyFill="1" applyBorder="1" applyAlignment="1" applyProtection="1">
      <alignment horizontal="center"/>
      <protection locked="0"/>
    </xf>
    <xf numFmtId="172" fontId="78" fillId="2" borderId="23" xfId="7" applyNumberFormat="1" applyFont="1" applyFill="1" applyBorder="1" applyAlignment="1" applyProtection="1">
      <alignment horizontal="center"/>
      <protection locked="0"/>
    </xf>
    <xf numFmtId="0" fontId="57" fillId="2" borderId="21" xfId="0" applyFont="1" applyFill="1" applyBorder="1" applyAlignment="1">
      <alignment horizontal="left" vertical="center" wrapText="1"/>
    </xf>
    <xf numFmtId="0" fontId="57" fillId="2" borderId="22" xfId="0" applyFont="1" applyFill="1" applyBorder="1" applyAlignment="1">
      <alignment horizontal="left" vertical="center" wrapText="1"/>
    </xf>
    <xf numFmtId="0" fontId="57" fillId="2" borderId="23" xfId="0" applyFont="1" applyFill="1" applyBorder="1" applyAlignment="1">
      <alignment horizontal="left" vertical="center" wrapText="1"/>
    </xf>
    <xf numFmtId="168" fontId="57" fillId="2" borderId="16" xfId="0" applyNumberFormat="1" applyFont="1" applyFill="1" applyBorder="1" applyAlignment="1">
      <alignment horizontal="center" vertical="center" wrapText="1"/>
    </xf>
    <xf numFmtId="0" fontId="57" fillId="3" borderId="16" xfId="0" applyFont="1" applyFill="1" applyBorder="1" applyAlignment="1">
      <alignment horizontal="left" vertical="center" wrapText="1"/>
    </xf>
    <xf numFmtId="0" fontId="57" fillId="0" borderId="16" xfId="0" applyFont="1" applyBorder="1" applyAlignment="1">
      <alignment horizontal="left" vertical="center" wrapText="1"/>
    </xf>
    <xf numFmtId="0" fontId="56" fillId="2" borderId="16" xfId="2" applyFont="1" applyFill="1" applyBorder="1" applyAlignment="1">
      <alignment horizontal="center" vertical="center"/>
    </xf>
    <xf numFmtId="0" fontId="15" fillId="0" borderId="16" xfId="0" applyFont="1" applyBorder="1" applyAlignment="1">
      <alignment horizontal="center" vertical="center"/>
    </xf>
    <xf numFmtId="166" fontId="1" fillId="2" borderId="21" xfId="2" applyNumberFormat="1" applyFont="1" applyFill="1" applyBorder="1" applyAlignment="1">
      <alignment horizontal="center" vertical="center"/>
    </xf>
    <xf numFmtId="166" fontId="1" fillId="2" borderId="23" xfId="2" applyNumberFormat="1" applyFont="1" applyFill="1" applyBorder="1" applyAlignment="1">
      <alignment horizontal="center" vertical="center"/>
    </xf>
    <xf numFmtId="0" fontId="41" fillId="2" borderId="16" xfId="2" applyFont="1" applyFill="1" applyBorder="1" applyAlignment="1">
      <alignment horizontal="center" vertical="center"/>
    </xf>
    <xf numFmtId="0" fontId="26" fillId="2" borderId="21" xfId="2" applyFont="1" applyFill="1" applyBorder="1" applyAlignment="1">
      <alignment horizontal="center" vertical="center"/>
    </xf>
    <xf numFmtId="0" fontId="26" fillId="2" borderId="22" xfId="2" applyFont="1" applyFill="1" applyBorder="1" applyAlignment="1">
      <alignment horizontal="center" vertical="center"/>
    </xf>
    <xf numFmtId="0" fontId="26" fillId="2" borderId="23" xfId="2" applyFont="1" applyFill="1" applyBorder="1" applyAlignment="1">
      <alignment horizontal="center" vertical="center"/>
    </xf>
    <xf numFmtId="0" fontId="94" fillId="18" borderId="22" xfId="1" quotePrefix="1" applyFont="1" applyFill="1" applyBorder="1" applyAlignment="1">
      <alignment horizontal="center" vertical="center"/>
    </xf>
    <xf numFmtId="0" fontId="15" fillId="3" borderId="0" xfId="0" applyFont="1" applyFill="1" applyAlignment="1">
      <alignment wrapText="1"/>
    </xf>
    <xf numFmtId="0" fontId="0" fillId="0" borderId="0" xfId="0" applyAlignment="1">
      <alignment wrapText="1"/>
    </xf>
    <xf numFmtId="0" fontId="0" fillId="2" borderId="55" xfId="0" applyFill="1" applyBorder="1" applyAlignment="1">
      <alignment horizontal="left" vertical="center" wrapText="1"/>
    </xf>
    <xf numFmtId="0" fontId="0" fillId="0" borderId="27" xfId="0" applyBorder="1" applyAlignment="1">
      <alignment horizontal="left" vertical="center" wrapText="1"/>
    </xf>
    <xf numFmtId="0" fontId="0" fillId="2" borderId="87" xfId="0" applyFill="1" applyBorder="1" applyAlignment="1">
      <alignment horizontal="left" vertical="center" wrapText="1"/>
    </xf>
    <xf numFmtId="0" fontId="0" fillId="0" borderId="0" xfId="0" applyAlignment="1">
      <alignment horizontal="left" vertical="center" wrapText="1"/>
    </xf>
    <xf numFmtId="0" fontId="0" fillId="2" borderId="16" xfId="0" applyFill="1" applyBorder="1" applyAlignment="1">
      <alignment horizontal="left" vertical="center" wrapText="1"/>
    </xf>
    <xf numFmtId="0" fontId="0" fillId="0" borderId="16" xfId="0" applyBorder="1" applyAlignment="1">
      <alignment horizontal="left" vertical="center" wrapText="1"/>
    </xf>
    <xf numFmtId="0" fontId="0" fillId="2" borderId="27" xfId="0" applyFill="1" applyBorder="1" applyAlignment="1">
      <alignment horizontal="left" vertical="center" wrapText="1"/>
    </xf>
    <xf numFmtId="0" fontId="0" fillId="2" borderId="28" xfId="0" applyFill="1" applyBorder="1" applyAlignment="1">
      <alignment horizontal="left" vertical="center" wrapText="1"/>
    </xf>
    <xf numFmtId="0" fontId="0" fillId="0" borderId="28" xfId="0" applyBorder="1" applyAlignment="1">
      <alignment horizontal="left" vertical="center" wrapText="1"/>
    </xf>
    <xf numFmtId="0" fontId="0" fillId="2" borderId="27" xfId="0" applyFill="1" applyBorder="1" applyAlignment="1">
      <alignment wrapText="1"/>
    </xf>
    <xf numFmtId="0" fontId="0" fillId="2" borderId="28" xfId="0" applyFill="1" applyBorder="1" applyAlignment="1">
      <alignment wrapText="1"/>
    </xf>
    <xf numFmtId="0" fontId="6" fillId="2" borderId="0" xfId="0" applyFont="1" applyFill="1" applyAlignment="1"/>
    <xf numFmtId="0" fontId="5" fillId="2" borderId="0" xfId="0" applyFont="1" applyFill="1" applyAlignment="1"/>
    <xf numFmtId="0" fontId="0" fillId="0" borderId="0" xfId="0" applyAlignment="1"/>
  </cellXfs>
  <cellStyles count="9">
    <cellStyle name="Encabezado 1" xfId="3" builtinId="16"/>
    <cellStyle name="Encabezado 4" xfId="5" builtinId="19"/>
    <cellStyle name="Hipervínculo" xfId="1" builtinId="8"/>
    <cellStyle name="Normal" xfId="0" builtinId="0"/>
    <cellStyle name="Normal 2" xfId="2" xr:uid="{4E7C003D-FF5B-4A97-960F-378FE005741F}"/>
    <cellStyle name="Normal 3" xfId="6" xr:uid="{B3C400FC-1EFA-4BAB-8CCE-09C484F7EE96}"/>
    <cellStyle name="Normal 3 2" xfId="8" xr:uid="{BF05F458-5166-4317-8E64-939B34FFD373}"/>
    <cellStyle name="Normal 4" xfId="7" xr:uid="{96681B1E-9A53-463D-9C1E-9A8DC23607AF}"/>
    <cellStyle name="Título 2" xfId="4" builtinId="17"/>
  </cellStyles>
  <dxfs count="166">
    <dxf>
      <font>
        <color rgb="FFFF0000"/>
      </font>
    </dxf>
    <dxf>
      <font>
        <color theme="0"/>
      </font>
      <fill>
        <patternFill>
          <bgColor rgb="FF00B050"/>
        </patternFill>
      </fill>
    </dxf>
    <dxf>
      <font>
        <color theme="0"/>
      </font>
      <fill>
        <patternFill>
          <bgColor rgb="FF00B050"/>
        </patternFill>
      </fill>
    </dxf>
    <dxf>
      <font>
        <strike val="0"/>
        <outline val="0"/>
        <shadow val="0"/>
        <u val="none"/>
        <vertAlign val="baseline"/>
        <sz val="12"/>
        <color theme="1" tint="0.34998626667073579"/>
        <name val="Arial"/>
        <family val="2"/>
        <scheme val="none"/>
      </font>
      <protection locked="0" hidden="0"/>
    </dxf>
    <dxf>
      <border outline="0">
        <top style="medium">
          <color theme="4" tint="-0.24994659260841701"/>
        </top>
      </border>
    </dxf>
    <dxf>
      <font>
        <strike val="0"/>
        <outline val="0"/>
        <shadow val="0"/>
        <u val="none"/>
        <vertAlign val="baseline"/>
        <sz val="12"/>
        <color theme="1" tint="0.34998626667073579"/>
        <name val="Arial"/>
        <family val="2"/>
        <scheme val="none"/>
      </font>
      <protection locked="0" hidden="0"/>
    </dxf>
    <dxf>
      <font>
        <b/>
        <i val="0"/>
        <strike val="0"/>
        <condense val="0"/>
        <extend val="0"/>
        <outline val="0"/>
        <shadow val="0"/>
        <u val="none"/>
        <vertAlign val="baseline"/>
        <sz val="9"/>
        <color theme="4" tint="-0.499984740745262"/>
        <name val="Arial"/>
        <family val="2"/>
        <scheme val="none"/>
      </font>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sz val="12"/>
        <color theme="1" tint="0.34998626667073579"/>
        <name val="Arial"/>
        <family val="2"/>
        <scheme val="none"/>
      </font>
      <protection locked="0" hidden="0"/>
    </dxf>
    <dxf>
      <border outline="0">
        <top style="medium">
          <color theme="4" tint="-0.24994659260841701"/>
        </top>
      </border>
    </dxf>
    <dxf>
      <font>
        <strike val="0"/>
        <outline val="0"/>
        <shadow val="0"/>
        <u val="none"/>
        <vertAlign val="baseline"/>
        <sz val="12"/>
        <color theme="1" tint="0.34998626667073579"/>
        <name val="Arial"/>
        <family val="2"/>
        <scheme val="none"/>
      </font>
      <protection locked="0" hidden="0"/>
    </dxf>
    <dxf>
      <font>
        <b/>
        <i val="0"/>
        <strike val="0"/>
        <condense val="0"/>
        <extend val="0"/>
        <outline val="0"/>
        <shadow val="0"/>
        <u val="none"/>
        <vertAlign val="baseline"/>
        <sz val="9"/>
        <color theme="4" tint="-0.499984740745262"/>
        <name val="Arial"/>
        <family val="2"/>
        <scheme val="none"/>
      </font>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name val="Arial"/>
        <family val="2"/>
        <scheme val="none"/>
      </font>
      <numFmt numFmtId="168" formatCode="&quot;$&quot;#,##0.00"/>
      <alignment horizontal="right" vertical="center" textRotation="0" wrapText="0" indent="1" justifyLastLine="0" shrinkToFit="0" readingOrder="0"/>
      <protection locked="1" hidden="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1" justifyLastLine="0" shrinkToFit="0" readingOrder="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left" vertical="center" textRotation="0" wrapText="0" relativeIndent="1"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0" indent="1" justifyLastLine="0" shrinkToFit="0" readingOrder="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color theme="4" tint="-0.499984740745262"/>
        <name val="Arial"/>
        <family val="2"/>
        <scheme val="none"/>
      </font>
      <protection locked="1" hidden="0"/>
    </dxf>
    <dxf>
      <font>
        <strike val="0"/>
        <outline val="0"/>
        <shadow val="0"/>
        <u val="none"/>
        <vertAlign val="baseline"/>
        <name val="Arial"/>
        <family val="2"/>
        <scheme val="none"/>
      </font>
      <numFmt numFmtId="168" formatCode="&quot;$&quot;#,##0.00"/>
      <alignment horizontal="right" vertical="center" textRotation="0" wrapText="0" indent="1" justifyLastLine="0" shrinkToFit="0" readingOrder="0"/>
      <protection locked="1" hidden="0"/>
    </dxf>
    <dxf>
      <font>
        <b val="0"/>
        <i val="0"/>
        <strike val="0"/>
        <condense val="0"/>
        <extend val="0"/>
        <outline val="0"/>
        <shadow val="0"/>
        <u val="none"/>
        <vertAlign val="baseline"/>
        <sz val="12"/>
        <color theme="1"/>
        <name val="Arial"/>
        <family val="2"/>
        <scheme val="none"/>
      </font>
      <numFmt numFmtId="168" formatCode="&quot;$&quot;#,##0.00"/>
      <alignment horizontal="right" vertical="center" textRotation="0" wrapText="0" indent="1"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protection locked="1" hidden="0"/>
    </dxf>
    <dxf>
      <font>
        <strike val="0"/>
        <outline val="0"/>
        <shadow val="0"/>
        <u val="none"/>
        <vertAlign val="baseline"/>
        <name val="Arial"/>
        <family val="2"/>
        <scheme val="none"/>
      </font>
      <alignment horizontal="left" vertical="center" textRotation="0" wrapText="0" relativeIndent="1"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0" indent="1" justifyLastLine="0" shrinkToFit="0" readingOrder="0"/>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color theme="4" tint="-0.499984740745262"/>
        <name val="Arial"/>
        <family val="2"/>
        <scheme val="none"/>
      </font>
      <protection locked="1" hidden="0"/>
    </dxf>
    <dxf>
      <font>
        <strike val="0"/>
        <outline val="0"/>
        <shadow val="0"/>
        <u val="none"/>
        <vertAlign val="baseline"/>
        <name val="Arial"/>
        <family val="2"/>
        <scheme val="none"/>
      </font>
      <numFmt numFmtId="168" formatCode="&quot;$&quot;#,##0.00"/>
      <alignment horizontal="right" vertical="center" textRotation="0" wrapText="0" indent="1" justifyLastLine="0" shrinkToFit="0" readingOrder="0"/>
      <protection locked="1" hidden="0"/>
    </dxf>
    <dxf>
      <font>
        <b val="0"/>
        <i val="0"/>
        <strike val="0"/>
        <condense val="0"/>
        <extend val="0"/>
        <outline val="0"/>
        <shadow val="0"/>
        <u val="none"/>
        <vertAlign val="baseline"/>
        <sz val="12"/>
        <color theme="1"/>
        <name val="Arial"/>
        <family val="2"/>
        <scheme val="none"/>
      </font>
      <numFmt numFmtId="168" formatCode="&quot;$&quot;#,##0.00"/>
      <alignment horizontal="right" vertical="center" textRotation="0" wrapText="0" indent="1" justifyLastLine="0" shrinkToFit="0" readingOrder="0"/>
    </dxf>
    <dxf>
      <font>
        <strike val="0"/>
        <outline val="0"/>
        <shadow val="0"/>
        <u val="none"/>
        <vertAlign val="baseline"/>
        <name val="Arial"/>
        <family val="2"/>
        <scheme val="none"/>
      </font>
      <numFmt numFmtId="168" formatCode="&quot;$&quot;#,##0.00"/>
      <alignment horizontal="right" vertical="center" textRotation="0" wrapText="0" indent="1" justifyLastLine="0" shrinkToFit="0" readingOrder="0"/>
      <protection locked="1" hidden="0"/>
    </dxf>
    <dxf>
      <font>
        <b val="0"/>
        <i val="0"/>
        <strike val="0"/>
        <condense val="0"/>
        <extend val="0"/>
        <outline val="0"/>
        <shadow val="0"/>
        <u val="none"/>
        <vertAlign val="baseline"/>
        <sz val="12"/>
        <color theme="1"/>
        <name val="Arial"/>
        <family val="2"/>
        <scheme val="none"/>
      </font>
      <numFmt numFmtId="168" formatCode="&quot;$&quot;#,##0.00"/>
      <alignment horizontal="right" vertical="center" textRotation="0" wrapText="0" indent="1" justifyLastLine="0" shrinkToFit="0" readingOrder="0"/>
    </dxf>
    <dxf>
      <font>
        <strike val="0"/>
        <outline val="0"/>
        <shadow val="0"/>
        <u val="none"/>
        <vertAlign val="baseline"/>
        <name val="Arial"/>
        <family val="2"/>
        <scheme val="none"/>
      </font>
      <protection locked="0" hidden="0"/>
    </dxf>
    <dxf>
      <font>
        <b val="0"/>
        <i val="0"/>
        <strike val="0"/>
        <condense val="0"/>
        <extend val="0"/>
        <outline val="0"/>
        <shadow val="0"/>
        <u val="none"/>
        <vertAlign val="baseline"/>
        <sz val="12"/>
        <color theme="1"/>
        <name val="Arial"/>
        <family val="2"/>
        <scheme val="none"/>
      </font>
    </dxf>
    <dxf>
      <font>
        <strike val="0"/>
        <outline val="0"/>
        <shadow val="0"/>
        <u val="none"/>
        <vertAlign val="baseline"/>
        <name val="Arial"/>
        <family val="2"/>
        <scheme val="none"/>
      </font>
      <numFmt numFmtId="3" formatCode="#,##0"/>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strike val="0"/>
        <outline val="0"/>
        <shadow val="0"/>
        <u val="none"/>
        <vertAlign val="baseline"/>
        <name val="Arial"/>
        <family val="2"/>
        <scheme val="none"/>
      </font>
      <numFmt numFmtId="168" formatCode="&quot;$&quot;#,##0.00"/>
      <alignment horizontal="right" vertical="center" textRotation="0" wrapText="0" indent="1" justifyLastLine="0" shrinkToFit="0" readingOrder="0"/>
      <protection locked="0" hidden="0"/>
    </dxf>
    <dxf>
      <font>
        <b val="0"/>
        <i val="0"/>
        <strike val="0"/>
        <condense val="0"/>
        <extend val="0"/>
        <outline val="0"/>
        <shadow val="0"/>
        <u val="none"/>
        <vertAlign val="baseline"/>
        <sz val="12"/>
        <color theme="1"/>
        <name val="Arial"/>
        <family val="2"/>
        <scheme val="none"/>
      </font>
      <numFmt numFmtId="168" formatCode="&quot;$&quot;#,##0.00"/>
      <alignment horizontal="right" vertical="center" textRotation="0" wrapText="0" indent="1" justifyLastLine="0" shrinkToFit="0" readingOrder="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left" vertical="center" textRotation="0" wrapText="0" relativeIndent="1" justifyLastLine="0" shrinkToFit="0" readingOrder="0"/>
      <protection locked="0" hidden="0"/>
    </dxf>
    <dxf>
      <font>
        <b val="0"/>
        <i val="0"/>
        <strike val="0"/>
        <condense val="0"/>
        <extend val="0"/>
        <outline val="0"/>
        <shadow val="0"/>
        <u val="none"/>
        <vertAlign val="baseline"/>
        <sz val="12"/>
        <color theme="1"/>
        <name val="Arial"/>
        <family val="2"/>
        <scheme val="none"/>
      </font>
      <alignment horizontal="left" vertical="center" textRotation="0" wrapText="0" indent="1" justifyLastLine="0" shrinkToFit="0" readingOrder="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color theme="4" tint="-0.499984740745262"/>
        <name val="Arial"/>
        <family val="2"/>
        <scheme val="none"/>
      </font>
      <protection locked="1" hidden="0"/>
    </dxf>
    <dxf>
      <font>
        <strike val="0"/>
        <outline val="0"/>
        <shadow val="0"/>
        <u val="none"/>
        <vertAlign val="baseline"/>
        <name val="Arial"/>
        <family val="2"/>
        <scheme val="none"/>
      </font>
      <numFmt numFmtId="168" formatCode="&quot;$&quot;#,##0.00"/>
      <alignment horizontal="right" vertical="center" textRotation="0" wrapText="0" indent="1" justifyLastLine="0" shrinkToFit="0" readingOrder="0"/>
      <protection locked="1" hidden="0"/>
    </dxf>
    <dxf>
      <font>
        <b val="0"/>
        <i val="0"/>
        <strike val="0"/>
        <condense val="0"/>
        <extend val="0"/>
        <outline val="0"/>
        <shadow val="0"/>
        <u val="none"/>
        <vertAlign val="baseline"/>
        <sz val="12"/>
        <color theme="1"/>
        <name val="Arial"/>
        <family val="2"/>
        <scheme val="none"/>
      </font>
      <numFmt numFmtId="168" formatCode="&quot;$&quot;#,##0.00"/>
      <alignment horizontal="right" vertical="center" textRotation="0" wrapText="0" indent="1" justifyLastLine="0" shrinkToFit="0" readingOrder="0"/>
    </dxf>
    <dxf>
      <font>
        <strike val="0"/>
        <outline val="0"/>
        <shadow val="0"/>
        <u val="none"/>
        <vertAlign val="baseline"/>
        <name val="Arial"/>
        <family val="2"/>
        <scheme val="none"/>
      </font>
      <numFmt numFmtId="168" formatCode="&quot;$&quot;#,##0.00"/>
      <alignment horizontal="right" vertical="center" textRotation="0" wrapText="0" indent="1" justifyLastLine="0" shrinkToFit="0" readingOrder="0"/>
      <protection locked="1" hidden="0"/>
    </dxf>
    <dxf>
      <font>
        <b val="0"/>
        <i val="0"/>
        <strike val="0"/>
        <condense val="0"/>
        <extend val="0"/>
        <outline val="0"/>
        <shadow val="0"/>
        <u val="none"/>
        <vertAlign val="baseline"/>
        <sz val="12"/>
        <color theme="1"/>
        <name val="Arial"/>
        <family val="2"/>
        <scheme val="none"/>
      </font>
      <numFmt numFmtId="168" formatCode="&quot;$&quot;#,##0.00"/>
      <alignment horizontal="right" vertical="center" textRotation="0" wrapText="0" indent="1" justifyLastLine="0" shrinkToFit="0" readingOrder="0"/>
    </dxf>
    <dxf>
      <font>
        <strike val="0"/>
        <outline val="0"/>
        <shadow val="0"/>
        <u val="none"/>
        <vertAlign val="baseline"/>
        <name val="Arial"/>
        <family val="2"/>
        <scheme val="none"/>
      </font>
      <numFmt numFmtId="14" formatCode="0.00%"/>
      <protection locked="1" hidden="0"/>
    </dxf>
    <dxf>
      <font>
        <b val="0"/>
        <i val="0"/>
        <strike val="0"/>
        <condense val="0"/>
        <extend val="0"/>
        <outline val="0"/>
        <shadow val="0"/>
        <u val="none"/>
        <vertAlign val="baseline"/>
        <sz val="12"/>
        <color theme="1"/>
        <name val="Arial"/>
        <family val="2"/>
        <scheme val="none"/>
      </font>
    </dxf>
    <dxf>
      <font>
        <strike val="0"/>
        <outline val="0"/>
        <shadow val="0"/>
        <u val="none"/>
        <vertAlign val="baseline"/>
        <name val="Arial"/>
        <family val="2"/>
        <scheme val="none"/>
      </font>
      <numFmt numFmtId="3" formatCode="#,##0"/>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strike val="0"/>
        <outline val="0"/>
        <shadow val="0"/>
        <u val="none"/>
        <vertAlign val="baseline"/>
        <name val="Arial"/>
        <family val="2"/>
        <scheme val="none"/>
      </font>
      <numFmt numFmtId="168" formatCode="&quot;$&quot;#,##0.00"/>
      <alignment horizontal="right" vertical="center" textRotation="0" wrapText="0" indent="1" justifyLastLine="0" shrinkToFit="0" readingOrder="0"/>
      <protection locked="0" hidden="0"/>
    </dxf>
    <dxf>
      <font>
        <b val="0"/>
        <i val="0"/>
        <strike val="0"/>
        <condense val="0"/>
        <extend val="0"/>
        <outline val="0"/>
        <shadow val="0"/>
        <u val="none"/>
        <vertAlign val="baseline"/>
        <sz val="12"/>
        <color theme="1"/>
        <name val="Arial"/>
        <family val="2"/>
        <scheme val="none"/>
      </font>
      <numFmt numFmtId="168" formatCode="&quot;$&quot;#,##0.00"/>
      <alignment horizontal="right" vertical="center" textRotation="0" wrapText="0" indent="1" justifyLastLine="0" shrinkToFit="0" readingOrder="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left" vertical="center" textRotation="0" wrapText="0" relativeIndent="1" justifyLastLine="0" shrinkToFit="0" readingOrder="0"/>
      <protection locked="0" hidden="0"/>
    </dxf>
    <dxf>
      <font>
        <b val="0"/>
        <i val="0"/>
        <strike val="0"/>
        <condense val="0"/>
        <extend val="0"/>
        <outline val="0"/>
        <shadow val="0"/>
        <u val="none"/>
        <vertAlign val="baseline"/>
        <sz val="12"/>
        <color theme="1"/>
        <name val="Arial"/>
        <family val="2"/>
        <scheme val="none"/>
      </font>
      <alignment horizontal="left" vertical="center" textRotation="0" wrapText="0" indent="1" justifyLastLine="0" shrinkToFit="0" readingOrder="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color theme="4" tint="-0.499984740745262"/>
        <name val="Arial"/>
        <family val="2"/>
        <scheme val="none"/>
      </font>
      <protection locked="1" hidden="0"/>
    </dxf>
    <dxf>
      <font>
        <strike val="0"/>
        <outline val="0"/>
        <shadow val="0"/>
        <u val="none"/>
        <vertAlign val="baseline"/>
        <name val="Arial"/>
        <family val="2"/>
        <scheme val="none"/>
      </font>
      <numFmt numFmtId="168" formatCode="&quot;$&quot;#,##0.00"/>
      <alignment horizontal="righ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family val="2"/>
        <scheme val="none"/>
      </font>
      <numFmt numFmtId="168" formatCode="&quot;$&quot;#,##0.00"/>
      <alignment horizontal="right" vertical="center" textRotation="0" wrapText="0" indent="1" justifyLastLine="0" shrinkToFit="0" readingOrder="0"/>
      <protection locked="1" hidden="0"/>
    </dxf>
    <dxf>
      <font>
        <strike val="0"/>
        <outline val="0"/>
        <shadow val="0"/>
        <u val="none"/>
        <vertAlign val="baseline"/>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protection locked="1" hidden="0"/>
    </dxf>
    <dxf>
      <font>
        <strike val="0"/>
        <outline val="0"/>
        <shadow val="0"/>
        <u val="none"/>
        <vertAlign val="baseline"/>
        <name val="Arial"/>
        <family val="2"/>
        <scheme val="none"/>
      </font>
      <alignment horizontal="left" vertical="center" textRotation="0" wrapText="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0" indent="1" justifyLastLine="0" shrinkToFit="0" readingOrder="0"/>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sz val="9"/>
        <color theme="4" tint="-0.499984740745262"/>
        <name val="Arial"/>
        <family val="2"/>
        <scheme val="none"/>
      </font>
      <protection locked="1" hidden="0"/>
    </dxf>
    <dxf>
      <font>
        <strike val="0"/>
        <outline val="0"/>
        <shadow val="0"/>
        <u val="none"/>
        <vertAlign val="baseline"/>
        <name val="Arial"/>
        <family val="2"/>
        <scheme val="none"/>
      </font>
      <numFmt numFmtId="168" formatCode="&quot;$&quot;#,##0.00"/>
      <alignment horizontal="right" vertical="center" textRotation="0" wrapText="0" indent="1" justifyLastLine="0" shrinkToFit="0" readingOrder="0"/>
      <protection locked="0" hidden="0"/>
    </dxf>
    <dxf>
      <font>
        <b val="0"/>
        <i val="0"/>
        <strike val="0"/>
        <condense val="0"/>
        <extend val="0"/>
        <outline val="0"/>
        <shadow val="0"/>
        <u val="none"/>
        <vertAlign val="baseline"/>
        <sz val="12"/>
        <color theme="1"/>
        <name val="Arial"/>
        <family val="2"/>
        <scheme val="none"/>
      </font>
      <numFmt numFmtId="168" formatCode="&quot;$&quot;#,##0.00"/>
      <alignment horizontal="right" vertical="center" textRotation="0" wrapText="0" indent="1"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protection locked="1" hidden="0"/>
    </dxf>
    <dxf>
      <font>
        <strike val="0"/>
        <outline val="0"/>
        <shadow val="0"/>
        <u val="none"/>
        <vertAlign val="baseline"/>
        <name val="Arial"/>
        <family val="2"/>
        <scheme val="none"/>
      </font>
      <alignment horizontal="left" vertical="center" textRotation="0" wrapText="0" relativeIndent="1" justifyLastLine="0" shrinkToFit="0" readingOrder="0"/>
      <protection locked="0" hidden="0"/>
    </dxf>
    <dxf>
      <font>
        <b val="0"/>
        <i val="0"/>
        <strike val="0"/>
        <condense val="0"/>
        <extend val="0"/>
        <outline val="0"/>
        <shadow val="0"/>
        <u val="none"/>
        <vertAlign val="baseline"/>
        <sz val="12"/>
        <color theme="1"/>
        <name val="Arial"/>
        <family val="2"/>
        <scheme val="none"/>
      </font>
      <alignment horizontal="left" vertical="center" textRotation="0" wrapText="0" indent="1" justifyLastLine="0" shrinkToFit="0" readingOrder="0"/>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color theme="4" tint="-0.499984740745262"/>
        <name val="Arial"/>
        <family val="2"/>
        <scheme val="none"/>
      </font>
      <protection locked="1" hidden="0"/>
    </dxf>
    <dxf>
      <font>
        <strike val="0"/>
        <outline val="0"/>
        <shadow val="0"/>
        <u val="none"/>
        <vertAlign val="baseline"/>
        <name val="Arial"/>
        <family val="2"/>
        <scheme val="none"/>
      </font>
      <numFmt numFmtId="168" formatCode="&quot;$&quot;#,##0.00"/>
      <alignment horizontal="right" vertical="center" textRotation="0" wrapText="0" indent="1" justifyLastLine="0" shrinkToFit="0" readingOrder="0"/>
      <protection locked="0" hidden="0"/>
    </dxf>
    <dxf>
      <font>
        <b val="0"/>
        <i val="0"/>
        <strike val="0"/>
        <condense val="0"/>
        <extend val="0"/>
        <outline val="0"/>
        <shadow val="0"/>
        <u val="none"/>
        <vertAlign val="baseline"/>
        <sz val="12"/>
        <color theme="1"/>
        <name val="Arial"/>
        <family val="2"/>
        <scheme val="none"/>
      </font>
      <numFmt numFmtId="168" formatCode="&quot;$&quot;#,##0.00"/>
      <alignment horizontal="right" vertical="center" textRotation="0" wrapText="0" indent="1"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protection locked="1" hidden="0"/>
    </dxf>
    <dxf>
      <font>
        <strike val="0"/>
        <outline val="0"/>
        <shadow val="0"/>
        <u val="none"/>
        <vertAlign val="baseline"/>
        <name val="Arial"/>
        <family val="2"/>
        <scheme val="none"/>
      </font>
      <alignment horizontal="left" vertical="center" textRotation="0" wrapText="0" relativeIndent="1"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0" indent="1" justifyLastLine="0" shrinkToFit="0" readingOrder="0"/>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color theme="4" tint="-0.499984740745262"/>
        <name val="Arial"/>
        <family val="2"/>
        <scheme val="none"/>
      </font>
      <protection locked="1" hidden="0"/>
    </dxf>
    <dxf>
      <font>
        <strike val="0"/>
        <outline val="0"/>
        <shadow val="0"/>
        <u val="none"/>
        <vertAlign val="baseline"/>
        <name val="Arial"/>
        <family val="2"/>
        <scheme val="none"/>
      </font>
      <numFmt numFmtId="168" formatCode="&quot;$&quot;#,##0.00"/>
      <alignment horizontal="right" vertical="center" textRotation="0" wrapText="0" indent="1" justifyLastLine="0" shrinkToFit="0" readingOrder="0"/>
      <protection locked="0" hidden="0"/>
    </dxf>
    <dxf>
      <font>
        <b val="0"/>
        <i val="0"/>
        <strike val="0"/>
        <condense val="0"/>
        <extend val="0"/>
        <outline val="0"/>
        <shadow val="0"/>
        <u val="none"/>
        <vertAlign val="baseline"/>
        <sz val="12"/>
        <color theme="1"/>
        <name val="Arial"/>
        <family val="2"/>
        <scheme val="none"/>
      </font>
      <numFmt numFmtId="168" formatCode="&quot;$&quot;#,##0.00"/>
      <alignment horizontal="right" vertical="center" textRotation="0" wrapText="0" indent="1"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protection locked="1" hidden="0"/>
    </dxf>
    <dxf>
      <font>
        <strike val="0"/>
        <outline val="0"/>
        <shadow val="0"/>
        <u val="none"/>
        <vertAlign val="baseline"/>
        <name val="Arial"/>
        <family val="2"/>
        <scheme val="none"/>
      </font>
      <alignment horizontal="left" vertical="center" textRotation="0" wrapText="0" relativeIndent="1" justifyLastLine="0" shrinkToFit="0" readingOrder="0"/>
      <protection locked="0" hidden="0"/>
    </dxf>
    <dxf>
      <font>
        <b val="0"/>
        <i val="0"/>
        <strike val="0"/>
        <condense val="0"/>
        <extend val="0"/>
        <outline val="0"/>
        <shadow val="0"/>
        <u val="none"/>
        <vertAlign val="baseline"/>
        <sz val="12"/>
        <color theme="1"/>
        <name val="Arial"/>
        <family val="2"/>
        <scheme val="none"/>
      </font>
      <alignment horizontal="left" vertical="center" textRotation="0" wrapText="0" indent="1" justifyLastLine="0" shrinkToFit="0" readingOrder="0"/>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color theme="4" tint="-0.499984740745262"/>
        <name val="Arial"/>
        <family val="2"/>
        <scheme val="none"/>
      </font>
      <protection locked="1" hidden="0"/>
    </dxf>
    <dxf>
      <font>
        <strike val="0"/>
        <outline val="0"/>
        <shadow val="0"/>
        <u val="none"/>
        <vertAlign val="baseline"/>
        <name val="Arial"/>
        <family val="2"/>
        <scheme val="none"/>
      </font>
      <numFmt numFmtId="168" formatCode="&quot;$&quot;#,##0.00"/>
      <alignment horizontal="right" vertical="center" textRotation="0" wrapText="0" indent="1" justifyLastLine="0" shrinkToFit="0" readingOrder="0"/>
      <protection locked="0" hidden="0"/>
    </dxf>
    <dxf>
      <font>
        <b val="0"/>
        <i val="0"/>
        <strike val="0"/>
        <condense val="0"/>
        <extend val="0"/>
        <outline val="0"/>
        <shadow val="0"/>
        <u val="none"/>
        <vertAlign val="baseline"/>
        <sz val="12"/>
        <color theme="1"/>
        <name val="Arial"/>
        <family val="2"/>
        <scheme val="none"/>
      </font>
      <numFmt numFmtId="168" formatCode="&quot;$&quot;#,##0.00"/>
      <alignment horizontal="right" vertical="center" textRotation="0" wrapText="0" indent="1"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protection locked="1" hidden="0"/>
    </dxf>
    <dxf>
      <font>
        <strike val="0"/>
        <outline val="0"/>
        <shadow val="0"/>
        <u val="none"/>
        <vertAlign val="baseline"/>
        <name val="Arial"/>
        <family val="2"/>
        <scheme val="none"/>
      </font>
      <alignment horizontal="left" vertical="center" textRotation="0" wrapText="0" relativeIndent="1"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0" indent="1" justifyLastLine="0" shrinkToFit="0" readingOrder="0"/>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color theme="4" tint="-0.499984740745262"/>
        <name val="Arial"/>
        <family val="2"/>
        <scheme val="none"/>
      </font>
      <protection locked="1" hidden="0"/>
    </dxf>
    <dxf>
      <font>
        <strike val="0"/>
        <outline val="0"/>
        <shadow val="0"/>
        <u val="none"/>
        <vertAlign val="baseline"/>
        <name val="Arial"/>
        <family val="2"/>
        <scheme val="none"/>
      </font>
      <numFmt numFmtId="168" formatCode="&quot;$&quot;#,##0.00"/>
      <alignment horizontal="right" vertical="center" textRotation="0" wrapText="0" indent="1" justifyLastLine="0" shrinkToFit="0" readingOrder="0"/>
      <protection locked="1" hidden="0"/>
    </dxf>
    <dxf>
      <font>
        <b val="0"/>
        <i val="0"/>
        <strike val="0"/>
        <condense val="0"/>
        <extend val="0"/>
        <outline val="0"/>
        <shadow val="0"/>
        <u val="none"/>
        <vertAlign val="baseline"/>
        <sz val="12"/>
        <color theme="1"/>
        <name val="Arial"/>
        <family val="2"/>
        <scheme val="none"/>
      </font>
      <numFmt numFmtId="168" formatCode="&quot;$&quot;#,##0.00"/>
      <alignment horizontal="right" vertical="center" textRotation="0" wrapText="0" indent="1" justifyLastLine="0" shrinkToFit="0" readingOrder="0"/>
      <protection locked="1" hidden="0"/>
    </dxf>
    <dxf>
      <font>
        <strike val="0"/>
        <outline val="0"/>
        <shadow val="0"/>
        <u val="none"/>
        <vertAlign val="baseline"/>
        <name val="Arial"/>
        <family val="2"/>
        <scheme val="none"/>
      </font>
      <numFmt numFmtId="168" formatCode="&quot;$&quot;#,##0.00"/>
      <alignment horizontal="right" vertical="center" textRotation="0" wrapText="0" indent="1" justifyLastLine="0" shrinkToFit="0" readingOrder="0"/>
      <protection locked="1" hidden="0"/>
    </dxf>
    <dxf>
      <font>
        <b val="0"/>
        <i val="0"/>
        <strike val="0"/>
        <condense val="0"/>
        <extend val="0"/>
        <outline val="0"/>
        <shadow val="0"/>
        <u val="none"/>
        <vertAlign val="baseline"/>
        <sz val="12"/>
        <color theme="1"/>
        <name val="Arial"/>
        <family val="2"/>
        <scheme val="none"/>
      </font>
      <numFmt numFmtId="168" formatCode="&quot;$&quot;#,##0.00"/>
      <alignment horizontal="right" vertical="center" textRotation="0" wrapText="0" indent="1" justifyLastLine="0" shrinkToFit="0" readingOrder="0"/>
      <protection locked="1" hidden="0"/>
    </dxf>
    <dxf>
      <font>
        <strike val="0"/>
        <outline val="0"/>
        <shadow val="0"/>
        <u val="none"/>
        <vertAlign val="baseline"/>
        <name val="Arial"/>
        <family val="2"/>
        <scheme val="none"/>
      </font>
      <numFmt numFmtId="168" formatCode="&quot;$&quot;#,##0.00"/>
      <alignment horizontal="right" vertical="center" textRotation="0" wrapText="0" indent="1" justifyLastLine="0" shrinkToFit="0" readingOrder="0"/>
      <protection locked="1" hidden="0"/>
    </dxf>
    <dxf>
      <font>
        <b val="0"/>
        <i val="0"/>
        <strike val="0"/>
        <condense val="0"/>
        <extend val="0"/>
        <outline val="0"/>
        <shadow val="0"/>
        <u val="none"/>
        <vertAlign val="baseline"/>
        <sz val="12"/>
        <color theme="1"/>
        <name val="Arial"/>
        <family val="2"/>
        <scheme val="none"/>
      </font>
      <numFmt numFmtId="168" formatCode="&quot;$&quot;#,##0.00"/>
      <alignment horizontal="right" vertical="center" textRotation="0" wrapText="0" indent="1" justifyLastLine="0" shrinkToFit="0" readingOrder="0"/>
      <protection locked="1" hidden="0"/>
    </dxf>
    <dxf>
      <font>
        <strike val="0"/>
        <outline val="0"/>
        <shadow val="0"/>
        <u val="none"/>
        <vertAlign val="baseline"/>
        <name val="Arial"/>
        <family val="2"/>
        <scheme val="none"/>
      </font>
      <protection locked="0" hidden="0"/>
    </dxf>
    <dxf>
      <font>
        <b val="0"/>
        <i val="0"/>
        <strike val="0"/>
        <condense val="0"/>
        <extend val="0"/>
        <outline val="0"/>
        <shadow val="0"/>
        <u val="none"/>
        <vertAlign val="baseline"/>
        <sz val="12"/>
        <color theme="1"/>
        <name val="Arial"/>
        <family val="2"/>
        <scheme val="none"/>
      </font>
      <protection locked="1" hidden="0"/>
    </dxf>
    <dxf>
      <font>
        <strike val="0"/>
        <outline val="0"/>
        <shadow val="0"/>
        <u val="none"/>
        <vertAlign val="baseline"/>
        <name val="Arial"/>
        <family val="2"/>
        <scheme val="none"/>
      </font>
      <numFmt numFmtId="168" formatCode="&quot;$&quot;#,##0.00"/>
      <alignment horizontal="right" vertical="center" textRotation="0" wrapText="0" indent="1" justifyLastLine="0" shrinkToFit="0" readingOrder="0"/>
      <protection locked="0" hidden="0"/>
    </dxf>
    <dxf>
      <font>
        <b val="0"/>
        <i val="0"/>
        <strike val="0"/>
        <condense val="0"/>
        <extend val="0"/>
        <outline val="0"/>
        <shadow val="0"/>
        <u val="none"/>
        <vertAlign val="baseline"/>
        <sz val="12"/>
        <color theme="1"/>
        <name val="Arial"/>
        <family val="2"/>
        <scheme val="none"/>
      </font>
      <numFmt numFmtId="168" formatCode="&quot;$&quot;#,##0.00"/>
      <alignment horizontal="right" vertical="center" textRotation="0" wrapText="0" indent="1"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protection locked="1" hidden="0"/>
    </dxf>
    <dxf>
      <font>
        <strike val="0"/>
        <outline val="0"/>
        <shadow val="0"/>
        <u val="none"/>
        <vertAlign val="baseline"/>
        <name val="Arial"/>
        <family val="2"/>
        <scheme val="none"/>
      </font>
      <alignment horizontal="left" vertical="center" textRotation="0" wrapText="0" relativeIndent="1"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0" indent="1" justifyLastLine="0" shrinkToFit="0" readingOrder="0"/>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color theme="4" tint="-0.499984740745262"/>
        <name val="Arial"/>
        <family val="2"/>
        <scheme val="none"/>
      </font>
      <protection locked="1" hidden="0"/>
    </dxf>
    <dxf>
      <font>
        <strike val="0"/>
        <outline val="0"/>
        <shadow val="0"/>
        <u val="none"/>
        <vertAlign val="baseline"/>
        <name val="Arial"/>
        <family val="2"/>
        <scheme val="none"/>
      </font>
      <numFmt numFmtId="168" formatCode="&quot;$&quot;#,##0.00"/>
      <alignment horizontal="right" vertical="center" textRotation="0" wrapText="0" indent="1" justifyLastLine="0" shrinkToFit="0" readingOrder="0"/>
      <protection locked="1" hidden="0"/>
    </dxf>
    <dxf>
      <font>
        <b val="0"/>
        <i val="0"/>
        <strike val="0"/>
        <condense val="0"/>
        <extend val="0"/>
        <outline val="0"/>
        <shadow val="0"/>
        <u val="none"/>
        <vertAlign val="baseline"/>
        <sz val="12"/>
        <color theme="1"/>
        <name val="Arial"/>
        <family val="2"/>
        <scheme val="none"/>
      </font>
      <numFmt numFmtId="168" formatCode="&quot;$&quot;#,##0.00"/>
      <alignment horizontal="right" vertical="center" textRotation="0" wrapText="0" indent="1" justifyLastLine="0" shrinkToFit="0" readingOrder="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left" vertical="center" textRotation="0" wrapText="0" relativeIndent="1"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0" indent="1" justifyLastLine="0" shrinkToFit="0" readingOrder="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color theme="4" tint="-0.499984740745262"/>
        <name val="Arial"/>
        <family val="2"/>
        <scheme val="none"/>
      </font>
      <protection locked="1" hidden="0"/>
    </dxf>
    <dxf>
      <font>
        <strike val="0"/>
        <outline val="0"/>
        <shadow val="0"/>
        <u val="none"/>
        <vertAlign val="baseline"/>
        <name val="Arial"/>
        <family val="2"/>
        <scheme val="none"/>
      </font>
      <numFmt numFmtId="168" formatCode="&quot;$&quot;#,##0.00"/>
      <alignment horizontal="right" vertical="center" textRotation="0" wrapText="0" indent="1" justifyLastLine="0" shrinkToFit="0" readingOrder="0"/>
      <protection locked="1" hidden="0"/>
    </dxf>
    <dxf>
      <font>
        <b val="0"/>
        <i val="0"/>
        <strike val="0"/>
        <condense val="0"/>
        <extend val="0"/>
        <outline val="0"/>
        <shadow val="0"/>
        <u val="none"/>
        <vertAlign val="baseline"/>
        <sz val="12"/>
        <color theme="1"/>
        <name val="Arial"/>
        <family val="2"/>
        <scheme val="none"/>
      </font>
      <numFmt numFmtId="168" formatCode="&quot;$&quot;#,##0.00"/>
      <alignment horizontal="right" vertical="center" textRotation="0" wrapText="0" indent="1" justifyLastLine="0" shrinkToFit="0" readingOrder="0"/>
    </dxf>
    <dxf>
      <font>
        <strike val="0"/>
        <outline val="0"/>
        <shadow val="0"/>
        <u val="none"/>
        <vertAlign val="baseline"/>
        <name val="Arial"/>
        <family val="2"/>
        <scheme val="none"/>
      </font>
      <numFmt numFmtId="168" formatCode="&quot;$&quot;#,##0.00"/>
      <alignment horizontal="right" vertical="center" textRotation="0" wrapText="0" indent="1" justifyLastLine="0" shrinkToFit="0" readingOrder="0"/>
      <protection locked="1" hidden="0"/>
    </dxf>
    <dxf>
      <font>
        <b val="0"/>
        <i val="0"/>
        <strike val="0"/>
        <condense val="0"/>
        <extend val="0"/>
        <outline val="0"/>
        <shadow val="0"/>
        <u val="none"/>
        <vertAlign val="baseline"/>
        <sz val="12"/>
        <color theme="1"/>
        <name val="Arial"/>
        <family val="2"/>
        <scheme val="none"/>
      </font>
      <numFmt numFmtId="168" formatCode="&quot;$&quot;#,##0.00"/>
      <alignment horizontal="right" vertical="center" textRotation="0" wrapText="0" indent="1" justifyLastLine="0" shrinkToFit="0" readingOrder="0"/>
    </dxf>
    <dxf>
      <font>
        <strike val="0"/>
        <outline val="0"/>
        <shadow val="0"/>
        <u val="none"/>
        <vertAlign val="baseline"/>
        <name val="Arial"/>
        <family val="2"/>
        <scheme val="none"/>
      </font>
      <numFmt numFmtId="168" formatCode="&quot;$&quot;#,##0.00"/>
      <alignment horizontal="right" vertical="center" textRotation="0" wrapText="0" indent="1" justifyLastLine="0" shrinkToFit="0" readingOrder="0"/>
      <protection locked="1" hidden="0"/>
    </dxf>
    <dxf>
      <font>
        <b val="0"/>
        <i val="0"/>
        <strike val="0"/>
        <condense val="0"/>
        <extend val="0"/>
        <outline val="0"/>
        <shadow val="0"/>
        <u val="none"/>
        <vertAlign val="baseline"/>
        <sz val="12"/>
        <color theme="1"/>
        <name val="Arial"/>
        <family val="2"/>
        <scheme val="none"/>
      </font>
      <numFmt numFmtId="168" formatCode="&quot;$&quot;#,##0.00"/>
      <alignment horizontal="right" vertical="center" textRotation="0" wrapText="0" indent="1" justifyLastLine="0" shrinkToFit="0" readingOrder="0"/>
    </dxf>
    <dxf>
      <font>
        <strike val="0"/>
        <outline val="0"/>
        <shadow val="0"/>
        <u val="none"/>
        <vertAlign val="baseline"/>
        <name val="Arial"/>
        <family val="2"/>
        <scheme val="none"/>
      </font>
      <numFmt numFmtId="3" formatCode="#,##0"/>
      <fill>
        <patternFill patternType="solid">
          <fgColor indexed="64"/>
          <bgColor theme="0"/>
        </patternFill>
      </fill>
      <alignment horizontal="center" vertical="bottom" textRotation="0" wrapText="0" indent="0" justifyLastLine="0" shrinkToFit="0" readingOrder="0"/>
      <protection locked="0" hidden="0"/>
    </dxf>
    <dxf>
      <font>
        <strike val="0"/>
        <outline val="0"/>
        <shadow val="0"/>
        <u val="none"/>
        <vertAlign val="baseline"/>
        <name val="Arial"/>
        <family val="2"/>
        <scheme val="none"/>
      </font>
      <numFmt numFmtId="168" formatCode="&quot;$&quot;#,##0.00"/>
      <alignment horizontal="right" vertical="center" textRotation="0" wrapText="0" indent="1" justifyLastLine="0" shrinkToFit="0" readingOrder="0"/>
      <protection locked="0" hidden="0"/>
    </dxf>
    <dxf>
      <font>
        <b val="0"/>
        <i val="0"/>
        <strike val="0"/>
        <condense val="0"/>
        <extend val="0"/>
        <outline val="0"/>
        <shadow val="0"/>
        <u val="none"/>
        <vertAlign val="baseline"/>
        <sz val="12"/>
        <color theme="1"/>
        <name val="Arial"/>
        <family val="2"/>
        <scheme val="none"/>
      </font>
      <numFmt numFmtId="168" formatCode="&quot;$&quot;#,##0.00"/>
      <alignment horizontal="right" vertical="center" textRotation="0" wrapText="0" indent="1" justifyLastLine="0" shrinkToFit="0" readingOrder="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left" vertical="center" textRotation="0" wrapText="0" relativeIndent="1"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0" indent="1" justifyLastLine="0" shrinkToFit="0" readingOrder="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color theme="4" tint="-0.499984740745262"/>
        <name val="Arial"/>
        <family val="2"/>
        <scheme val="none"/>
      </font>
      <protection locked="1" hidden="0"/>
    </dxf>
    <dxf>
      <font>
        <strike val="0"/>
        <outline val="0"/>
        <shadow val="0"/>
        <u val="none"/>
        <vertAlign val="baseline"/>
        <name val="Arial"/>
        <family val="2"/>
        <scheme val="none"/>
      </font>
      <numFmt numFmtId="168" formatCode="&quot;$&quot;#,##0.00"/>
      <alignment horizontal="right" vertical="center" textRotation="0" wrapText="0" indent="1" justifyLastLine="0" shrinkToFit="0" readingOrder="0"/>
      <protection locked="0" hidden="0"/>
    </dxf>
    <dxf>
      <font>
        <b val="0"/>
        <i val="0"/>
        <strike val="0"/>
        <condense val="0"/>
        <extend val="0"/>
        <outline val="0"/>
        <shadow val="0"/>
        <u val="none"/>
        <vertAlign val="baseline"/>
        <sz val="12"/>
        <color theme="1"/>
        <name val="Arial"/>
        <family val="2"/>
        <scheme val="none"/>
      </font>
      <numFmt numFmtId="168" formatCode="&quot;$&quot;#,##0.00"/>
      <alignment horizontal="right" vertical="center" textRotation="0" wrapText="0" indent="1" justifyLastLine="0" shrinkToFit="0" readingOrder="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left" vertical="center" textRotation="0" wrapText="0" relativeIndent="1" justifyLastLine="0" shrinkToFit="0" readingOrder="0"/>
      <protection locked="0" hidden="0"/>
    </dxf>
    <dxf>
      <font>
        <b val="0"/>
        <i val="0"/>
        <strike val="0"/>
        <condense val="0"/>
        <extend val="0"/>
        <outline val="0"/>
        <shadow val="0"/>
        <u val="none"/>
        <vertAlign val="baseline"/>
        <sz val="12"/>
        <color theme="1"/>
        <name val="Arial"/>
        <family val="2"/>
        <scheme val="none"/>
      </font>
      <alignment horizontal="left" vertical="center" textRotation="0" wrapText="0" indent="1" justifyLastLine="0" shrinkToFit="0" readingOrder="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color theme="4" tint="-0.499984740745262"/>
        <name val="Arial"/>
        <family val="2"/>
        <scheme val="none"/>
      </font>
      <protection locked="1" hidden="0"/>
    </dxf>
    <dxf>
      <font>
        <color rgb="FFFF0000"/>
      </font>
    </dxf>
    <dxf>
      <border>
        <left style="dotted">
          <color theme="4" tint="0.59996337778862885"/>
        </left>
      </border>
    </dxf>
    <dxf>
      <fill>
        <patternFill>
          <bgColor theme="0" tint="-4.9989318521683403E-2"/>
        </patternFill>
      </fill>
    </dxf>
    <dxf>
      <border diagonalUp="0" diagonalDown="0">
        <left style="dotted">
          <color theme="4" tint="0.59996337778862885"/>
        </left>
        <right/>
        <top/>
        <bottom/>
        <vertical/>
        <horizontal/>
      </border>
    </dxf>
    <dxf>
      <font>
        <b/>
        <i val="0"/>
        <color theme="1" tint="0.34998626667073579"/>
      </font>
      <border diagonalUp="0" diagonalDown="0">
        <left/>
        <right/>
        <top style="dotted">
          <color theme="4" tint="0.59996337778862885"/>
        </top>
        <bottom style="dotted">
          <color theme="4" tint="0.59996337778862885"/>
        </bottom>
        <vertical/>
        <horizontal/>
      </border>
    </dxf>
    <dxf>
      <font>
        <b val="0"/>
        <i val="0"/>
        <color theme="4" tint="-0.499984740745262"/>
      </font>
      <fill>
        <patternFill patternType="none">
          <fgColor indexed="64"/>
          <bgColor auto="1"/>
        </patternFill>
      </fill>
      <border diagonalUp="0" diagonalDown="0">
        <left/>
        <right/>
        <top style="medium">
          <color theme="4" tint="-0.24994659260841701"/>
        </top>
        <bottom style="dotted">
          <color theme="4" tint="0.59996337778862885"/>
        </bottom>
        <vertical/>
        <horizontal/>
      </border>
    </dxf>
    <dxf>
      <font>
        <b val="0"/>
        <i val="0"/>
        <color theme="1" tint="0.34998626667073579"/>
      </font>
      <fill>
        <patternFill patternType="none">
          <bgColor auto="1"/>
        </patternFill>
      </fill>
      <border diagonalUp="0" diagonalDown="0">
        <left/>
        <right/>
        <top/>
        <bottom/>
        <vertical/>
        <horizontal/>
      </border>
    </dxf>
  </dxfs>
  <tableStyles count="1" defaultTableStyle="TableStyleMedium2" defaultPivotStyle="PivotStyleLight16">
    <tableStyle name="Startup Expenses" pivot="0" count="6" xr9:uid="{C9DD325C-DFE5-4638-B611-5F0AE25752BC}">
      <tableStyleElement type="wholeTable" dxfId="165"/>
      <tableStyleElement type="headerRow" dxfId="164"/>
      <tableStyleElement type="totalRow" dxfId="163"/>
      <tableStyleElement type="lastColumn" dxfId="162"/>
      <tableStyleElement type="secondRowStripe" dxfId="161"/>
      <tableStyleElement type="lastTotalCell" dxfId="16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cid:85BF3C29-3FC5-4EB3-AA00-B21D6B3DF0A6" TargetMode="External"/><Relationship Id="rId1" Type="http://schemas.openxmlformats.org/officeDocument/2006/relationships/image" Target="../media/image6.png"/><Relationship Id="rId6" Type="http://schemas.openxmlformats.org/officeDocument/2006/relationships/image" Target="cid:736F0166-904A-4870-830A-5587D24453E8" TargetMode="External"/><Relationship Id="rId5" Type="http://schemas.openxmlformats.org/officeDocument/2006/relationships/image" Target="../media/image8.png"/><Relationship Id="rId4" Type="http://schemas.openxmlformats.org/officeDocument/2006/relationships/image" Target="cid:18F5C7FB-ADC6-4049-93BF-A608FEB807F2" TargetMode="External"/></Relationships>
</file>

<file path=xl/drawings/_rels/drawing1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cid:A8410E9E-9F54-484E-A6FD-4B7F5947E1A5" TargetMode="External"/><Relationship Id="rId1" Type="http://schemas.openxmlformats.org/officeDocument/2006/relationships/image" Target="../media/image9.png"/><Relationship Id="rId4" Type="http://schemas.openxmlformats.org/officeDocument/2006/relationships/image" Target="cid:88D641EF-58E0-41E6-A379-B23FDD1698EA" TargetMode="External"/></Relationships>
</file>

<file path=xl/drawings/drawing1.xml><?xml version="1.0" encoding="utf-8"?>
<xdr:wsDr xmlns:xdr="http://schemas.openxmlformats.org/drawingml/2006/spreadsheetDrawing" xmlns:a="http://schemas.openxmlformats.org/drawingml/2006/main">
  <xdr:twoCellAnchor>
    <xdr:from>
      <xdr:col>4</xdr:col>
      <xdr:colOff>222250</xdr:colOff>
      <xdr:row>6</xdr:row>
      <xdr:rowOff>381000</xdr:rowOff>
    </xdr:from>
    <xdr:to>
      <xdr:col>4</xdr:col>
      <xdr:colOff>679450</xdr:colOff>
      <xdr:row>8</xdr:row>
      <xdr:rowOff>171450</xdr:rowOff>
    </xdr:to>
    <xdr:sp macro="" textlink="">
      <xdr:nvSpPr>
        <xdr:cNvPr id="13" name="Flowchart: Connector 12">
          <a:extLst>
            <a:ext uri="{FF2B5EF4-FFF2-40B4-BE49-F238E27FC236}">
              <a16:creationId xmlns:a16="http://schemas.microsoft.com/office/drawing/2014/main" id="{00000000-0008-0000-0000-00000D000000}"/>
            </a:ext>
          </a:extLst>
        </xdr:cNvPr>
        <xdr:cNvSpPr/>
      </xdr:nvSpPr>
      <xdr:spPr>
        <a:xfrm>
          <a:off x="3542393" y="1374321"/>
          <a:ext cx="457200" cy="429986"/>
        </a:xfrm>
        <a:prstGeom prst="flowChartConnector">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2400" b="1"/>
            <a:t>1</a:t>
          </a:r>
        </a:p>
      </xdr:txBody>
    </xdr:sp>
    <xdr:clientData/>
  </xdr:twoCellAnchor>
  <xdr:twoCellAnchor>
    <xdr:from>
      <xdr:col>8</xdr:col>
      <xdr:colOff>174625</xdr:colOff>
      <xdr:row>6</xdr:row>
      <xdr:rowOff>367392</xdr:rowOff>
    </xdr:from>
    <xdr:to>
      <xdr:col>8</xdr:col>
      <xdr:colOff>631825</xdr:colOff>
      <xdr:row>8</xdr:row>
      <xdr:rowOff>171449</xdr:rowOff>
    </xdr:to>
    <xdr:sp macro="" textlink="">
      <xdr:nvSpPr>
        <xdr:cNvPr id="25" name="Flowchart: Connector 24">
          <a:extLst>
            <a:ext uri="{FF2B5EF4-FFF2-40B4-BE49-F238E27FC236}">
              <a16:creationId xmlns:a16="http://schemas.microsoft.com/office/drawing/2014/main" id="{00000000-0008-0000-0000-000019000000}"/>
            </a:ext>
          </a:extLst>
        </xdr:cNvPr>
        <xdr:cNvSpPr/>
      </xdr:nvSpPr>
      <xdr:spPr>
        <a:xfrm>
          <a:off x="6814911" y="1360713"/>
          <a:ext cx="457200" cy="443593"/>
        </a:xfrm>
        <a:prstGeom prst="flowChartConnector">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2400" b="1"/>
            <a:t>3</a:t>
          </a:r>
        </a:p>
      </xdr:txBody>
    </xdr:sp>
    <xdr:clientData/>
  </xdr:twoCellAnchor>
  <xdr:twoCellAnchor>
    <xdr:from>
      <xdr:col>20</xdr:col>
      <xdr:colOff>269875</xdr:colOff>
      <xdr:row>6</xdr:row>
      <xdr:rowOff>381000</xdr:rowOff>
    </xdr:from>
    <xdr:to>
      <xdr:col>20</xdr:col>
      <xdr:colOff>727075</xdr:colOff>
      <xdr:row>8</xdr:row>
      <xdr:rowOff>171450</xdr:rowOff>
    </xdr:to>
    <xdr:sp macro="" textlink="">
      <xdr:nvSpPr>
        <xdr:cNvPr id="26" name="Flowchart: Connector 25">
          <a:extLst>
            <a:ext uri="{FF2B5EF4-FFF2-40B4-BE49-F238E27FC236}">
              <a16:creationId xmlns:a16="http://schemas.microsoft.com/office/drawing/2014/main" id="{00000000-0008-0000-0000-00001A000000}"/>
            </a:ext>
          </a:extLst>
        </xdr:cNvPr>
        <xdr:cNvSpPr/>
      </xdr:nvSpPr>
      <xdr:spPr>
        <a:xfrm>
          <a:off x="16870589" y="1374321"/>
          <a:ext cx="457200" cy="429986"/>
        </a:xfrm>
        <a:prstGeom prst="flowChartConnector">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2400" b="1"/>
            <a:t>2</a:t>
          </a:r>
        </a:p>
      </xdr:txBody>
    </xdr:sp>
    <xdr:clientData/>
  </xdr:twoCellAnchor>
  <xdr:twoCellAnchor>
    <xdr:from>
      <xdr:col>12</xdr:col>
      <xdr:colOff>265338</xdr:colOff>
      <xdr:row>6</xdr:row>
      <xdr:rowOff>394608</xdr:rowOff>
    </xdr:from>
    <xdr:to>
      <xdr:col>12</xdr:col>
      <xdr:colOff>722538</xdr:colOff>
      <xdr:row>9</xdr:row>
      <xdr:rowOff>0</xdr:rowOff>
    </xdr:to>
    <xdr:sp macro="" textlink="">
      <xdr:nvSpPr>
        <xdr:cNvPr id="28" name="Flowchart: Connector 27">
          <a:extLst>
            <a:ext uri="{FF2B5EF4-FFF2-40B4-BE49-F238E27FC236}">
              <a16:creationId xmlns:a16="http://schemas.microsoft.com/office/drawing/2014/main" id="{00000000-0008-0000-0000-00001C000000}"/>
            </a:ext>
          </a:extLst>
        </xdr:cNvPr>
        <xdr:cNvSpPr/>
      </xdr:nvSpPr>
      <xdr:spPr>
        <a:xfrm>
          <a:off x="10225767" y="1387929"/>
          <a:ext cx="457200" cy="435428"/>
        </a:xfrm>
        <a:prstGeom prst="flowChartConnector">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2400" b="1"/>
            <a:t>5</a:t>
          </a:r>
        </a:p>
      </xdr:txBody>
    </xdr:sp>
    <xdr:clientData/>
  </xdr:twoCellAnchor>
  <xdr:twoCellAnchor>
    <xdr:from>
      <xdr:col>20</xdr:col>
      <xdr:colOff>158750</xdr:colOff>
      <xdr:row>46</xdr:row>
      <xdr:rowOff>508000</xdr:rowOff>
    </xdr:from>
    <xdr:to>
      <xdr:col>20</xdr:col>
      <xdr:colOff>615950</xdr:colOff>
      <xdr:row>48</xdr:row>
      <xdr:rowOff>187325</xdr:rowOff>
    </xdr:to>
    <xdr:sp macro="" textlink="">
      <xdr:nvSpPr>
        <xdr:cNvPr id="30" name="Flowchart: Connector 29">
          <a:extLst>
            <a:ext uri="{FF2B5EF4-FFF2-40B4-BE49-F238E27FC236}">
              <a16:creationId xmlns:a16="http://schemas.microsoft.com/office/drawing/2014/main" id="{00000000-0008-0000-0000-00001E000000}"/>
            </a:ext>
          </a:extLst>
        </xdr:cNvPr>
        <xdr:cNvSpPr/>
      </xdr:nvSpPr>
      <xdr:spPr>
        <a:xfrm>
          <a:off x="16668750" y="9239250"/>
          <a:ext cx="457200" cy="457200"/>
        </a:xfrm>
        <a:prstGeom prst="flowChartConnector">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2400" b="1"/>
            <a:t>8</a:t>
          </a:r>
        </a:p>
      </xdr:txBody>
    </xdr:sp>
    <xdr:clientData/>
  </xdr:twoCellAnchor>
  <xdr:twoCellAnchor>
    <xdr:from>
      <xdr:col>8</xdr:col>
      <xdr:colOff>238125</xdr:colOff>
      <xdr:row>26</xdr:row>
      <xdr:rowOff>95250</xdr:rowOff>
    </xdr:from>
    <xdr:to>
      <xdr:col>8</xdr:col>
      <xdr:colOff>695325</xdr:colOff>
      <xdr:row>28</xdr:row>
      <xdr:rowOff>171450</xdr:rowOff>
    </xdr:to>
    <xdr:sp macro="" textlink="">
      <xdr:nvSpPr>
        <xdr:cNvPr id="31" name="Flowchart: Connector 30">
          <a:extLst>
            <a:ext uri="{FF2B5EF4-FFF2-40B4-BE49-F238E27FC236}">
              <a16:creationId xmlns:a16="http://schemas.microsoft.com/office/drawing/2014/main" id="{00000000-0008-0000-0000-00001F000000}"/>
            </a:ext>
          </a:extLst>
        </xdr:cNvPr>
        <xdr:cNvSpPr/>
      </xdr:nvSpPr>
      <xdr:spPr>
        <a:xfrm>
          <a:off x="6842125" y="5016500"/>
          <a:ext cx="457200" cy="457200"/>
        </a:xfrm>
        <a:prstGeom prst="flowChartConnector">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2400" b="1"/>
            <a:t>9</a:t>
          </a:r>
        </a:p>
      </xdr:txBody>
    </xdr:sp>
    <xdr:clientData/>
  </xdr:twoCellAnchor>
  <xdr:twoCellAnchor>
    <xdr:from>
      <xdr:col>10</xdr:col>
      <xdr:colOff>206375</xdr:colOff>
      <xdr:row>46</xdr:row>
      <xdr:rowOff>523875</xdr:rowOff>
    </xdr:from>
    <xdr:to>
      <xdr:col>10</xdr:col>
      <xdr:colOff>663575</xdr:colOff>
      <xdr:row>49</xdr:row>
      <xdr:rowOff>12700</xdr:rowOff>
    </xdr:to>
    <xdr:sp macro="" textlink="">
      <xdr:nvSpPr>
        <xdr:cNvPr id="33" name="Flowchart: Connector 32">
          <a:extLst>
            <a:ext uri="{FF2B5EF4-FFF2-40B4-BE49-F238E27FC236}">
              <a16:creationId xmlns:a16="http://schemas.microsoft.com/office/drawing/2014/main" id="{00000000-0008-0000-0000-000021000000}"/>
            </a:ext>
          </a:extLst>
        </xdr:cNvPr>
        <xdr:cNvSpPr/>
      </xdr:nvSpPr>
      <xdr:spPr>
        <a:xfrm>
          <a:off x="8461375" y="9255125"/>
          <a:ext cx="457200" cy="457200"/>
        </a:xfrm>
        <a:prstGeom prst="flowChartConnector">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2400" b="1"/>
            <a:t>7</a:t>
          </a:r>
        </a:p>
      </xdr:txBody>
    </xdr:sp>
    <xdr:clientData/>
  </xdr:twoCellAnchor>
  <xdr:twoCellAnchor>
    <xdr:from>
      <xdr:col>16</xdr:col>
      <xdr:colOff>274411</xdr:colOff>
      <xdr:row>6</xdr:row>
      <xdr:rowOff>381000</xdr:rowOff>
    </xdr:from>
    <xdr:to>
      <xdr:col>16</xdr:col>
      <xdr:colOff>731611</xdr:colOff>
      <xdr:row>8</xdr:row>
      <xdr:rowOff>187324</xdr:rowOff>
    </xdr:to>
    <xdr:sp macro="" textlink="">
      <xdr:nvSpPr>
        <xdr:cNvPr id="34" name="Flowchart: Connector 33">
          <a:extLst>
            <a:ext uri="{FF2B5EF4-FFF2-40B4-BE49-F238E27FC236}">
              <a16:creationId xmlns:a16="http://schemas.microsoft.com/office/drawing/2014/main" id="{00000000-0008-0000-0000-000022000000}"/>
            </a:ext>
          </a:extLst>
        </xdr:cNvPr>
        <xdr:cNvSpPr/>
      </xdr:nvSpPr>
      <xdr:spPr>
        <a:xfrm>
          <a:off x="13554982" y="1374321"/>
          <a:ext cx="457200" cy="445860"/>
        </a:xfrm>
        <a:prstGeom prst="flowChartConnector">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2400" b="1"/>
            <a:t>4</a:t>
          </a:r>
        </a:p>
      </xdr:txBody>
    </xdr:sp>
    <xdr:clientData/>
  </xdr:twoCellAnchor>
  <xdr:twoCellAnchor>
    <xdr:from>
      <xdr:col>16</xdr:col>
      <xdr:colOff>238125</xdr:colOff>
      <xdr:row>26</xdr:row>
      <xdr:rowOff>95251</xdr:rowOff>
    </xdr:from>
    <xdr:to>
      <xdr:col>16</xdr:col>
      <xdr:colOff>695325</xdr:colOff>
      <xdr:row>28</xdr:row>
      <xdr:rowOff>158751</xdr:rowOff>
    </xdr:to>
    <xdr:sp macro="" textlink="">
      <xdr:nvSpPr>
        <xdr:cNvPr id="32" name="Flowchart: Connector 31">
          <a:extLst>
            <a:ext uri="{FF2B5EF4-FFF2-40B4-BE49-F238E27FC236}">
              <a16:creationId xmlns:a16="http://schemas.microsoft.com/office/drawing/2014/main" id="{00000000-0008-0000-0000-000020000000}"/>
            </a:ext>
          </a:extLst>
        </xdr:cNvPr>
        <xdr:cNvSpPr/>
      </xdr:nvSpPr>
      <xdr:spPr>
        <a:xfrm>
          <a:off x="13446125" y="5016501"/>
          <a:ext cx="457200" cy="444500"/>
        </a:xfrm>
        <a:prstGeom prst="flowChartConnector">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2400" b="1"/>
            <a:t>6</a:t>
          </a:r>
        </a:p>
      </xdr:txBody>
    </xdr:sp>
    <xdr:clientData/>
  </xdr:twoCellAnchor>
  <xdr:twoCellAnchor>
    <xdr:from>
      <xdr:col>19</xdr:col>
      <xdr:colOff>370417</xdr:colOff>
      <xdr:row>73</xdr:row>
      <xdr:rowOff>27214</xdr:rowOff>
    </xdr:from>
    <xdr:to>
      <xdr:col>20</xdr:col>
      <xdr:colOff>734786</xdr:colOff>
      <xdr:row>73</xdr:row>
      <xdr:rowOff>340178</xdr:rowOff>
    </xdr:to>
    <xdr:sp macro="" textlink="">
      <xdr:nvSpPr>
        <xdr:cNvPr id="2" name="Arrow: Right 1">
          <a:extLst>
            <a:ext uri="{FF2B5EF4-FFF2-40B4-BE49-F238E27FC236}">
              <a16:creationId xmlns:a16="http://schemas.microsoft.com/office/drawing/2014/main" id="{97DB428A-470A-40E1-BE53-78A6E8792B06}"/>
            </a:ext>
          </a:extLst>
        </xdr:cNvPr>
        <xdr:cNvSpPr/>
      </xdr:nvSpPr>
      <xdr:spPr>
        <a:xfrm>
          <a:off x="16054917" y="12515547"/>
          <a:ext cx="1189869" cy="312964"/>
        </a:xfrm>
        <a:prstGeom prst="rightArrow">
          <a:avLst>
            <a:gd name="adj1" fmla="val 50000"/>
            <a:gd name="adj2" fmla="val 52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029"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647701</xdr:colOff>
      <xdr:row>1</xdr:row>
      <xdr:rowOff>176892</xdr:rowOff>
    </xdr:from>
    <xdr:to>
      <xdr:col>6</xdr:col>
      <xdr:colOff>38101</xdr:colOff>
      <xdr:row>6</xdr:row>
      <xdr:rowOff>9525</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7848601" y="376917"/>
          <a:ext cx="2819400" cy="5519058"/>
        </a:xfrm>
        <a:prstGeom prst="rect">
          <a:avLst/>
        </a:prstGeom>
        <a:noFill/>
        <a:ln w="444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657225</xdr:colOff>
      <xdr:row>6</xdr:row>
      <xdr:rowOff>762000</xdr:rowOff>
    </xdr:from>
    <xdr:to>
      <xdr:col>4</xdr:col>
      <xdr:colOff>26670</xdr:colOff>
      <xdr:row>7</xdr:row>
      <xdr:rowOff>11430</xdr:rowOff>
    </xdr:to>
    <xdr:sp macro="" textlink="">
      <xdr:nvSpPr>
        <xdr:cNvPr id="21506" name="Button 2" hidden="1">
          <a:extLst>
            <a:ext uri="{63B3BB69-23CF-44E3-9099-C40C66FF867C}">
              <a14:compatExt xmlns:a14="http://schemas.microsoft.com/office/drawing/2010/main" spid="_x0000_s21506"/>
            </a:ext>
            <a:ext uri="{FF2B5EF4-FFF2-40B4-BE49-F238E27FC236}">
              <a16:creationId xmlns:a16="http://schemas.microsoft.com/office/drawing/2014/main" id="{00000000-0008-0000-0700-000002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029" sz="1100" b="0" i="0" u="none" strike="noStrike" baseline="0">
              <a:solidFill>
                <a:srgbClr val="000000"/>
              </a:solidFill>
              <a:latin typeface="Calibri"/>
              <a:cs typeface="Calibri"/>
            </a:rPr>
            <a:t>BACK</a:t>
          </a:r>
        </a:p>
      </xdr:txBody>
    </xdr:sp>
    <xdr:clientData fPrintsWithSheet="0"/>
  </xdr:twoCellAnchor>
  <xdr:twoCellAnchor>
    <xdr:from>
      <xdr:col>1</xdr:col>
      <xdr:colOff>657225</xdr:colOff>
      <xdr:row>0</xdr:row>
      <xdr:rowOff>180975</xdr:rowOff>
    </xdr:from>
    <xdr:to>
      <xdr:col>6</xdr:col>
      <xdr:colOff>9526</xdr:colOff>
      <xdr:row>7</xdr:row>
      <xdr:rowOff>9525</xdr:rowOff>
    </xdr:to>
    <xdr:sp macro="" textlink="">
      <xdr:nvSpPr>
        <xdr:cNvPr id="7" name="Rectangle 6">
          <a:extLst>
            <a:ext uri="{FF2B5EF4-FFF2-40B4-BE49-F238E27FC236}">
              <a16:creationId xmlns:a16="http://schemas.microsoft.com/office/drawing/2014/main" id="{00000000-0008-0000-0700-000007000000}"/>
            </a:ext>
          </a:extLst>
        </xdr:cNvPr>
        <xdr:cNvSpPr/>
      </xdr:nvSpPr>
      <xdr:spPr>
        <a:xfrm>
          <a:off x="7781925" y="180975"/>
          <a:ext cx="2781301" cy="5057775"/>
        </a:xfrm>
        <a:prstGeom prst="rect">
          <a:avLst/>
        </a:prstGeom>
        <a:noFill/>
        <a:ln w="444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657225</xdr:colOff>
      <xdr:row>8</xdr:row>
      <xdr:rowOff>762000</xdr:rowOff>
    </xdr:from>
    <xdr:ext cx="1424940" cy="659130"/>
    <xdr:sp macro="" textlink="">
      <xdr:nvSpPr>
        <xdr:cNvPr id="2" name="Button 2" hidden="1">
          <a:extLst>
            <a:ext uri="{63B3BB69-23CF-44E3-9099-C40C66FF867C}">
              <a14:compatExt xmlns:a14="http://schemas.microsoft.com/office/drawing/2010/main" spid="_x0000_s21506"/>
            </a:ext>
            <a:ext uri="{FF2B5EF4-FFF2-40B4-BE49-F238E27FC236}">
              <a16:creationId xmlns:a16="http://schemas.microsoft.com/office/drawing/2014/main" id="{1AA02363-4C08-46D0-A78C-46019C432D74}"/>
            </a:ext>
          </a:extLst>
        </xdr:cNvPr>
        <xdr:cNvSpPr/>
      </xdr:nvSpPr>
      <xdr:spPr bwMode="auto">
        <a:xfrm>
          <a:off x="7783830" y="4581525"/>
          <a:ext cx="1424940" cy="659130"/>
        </a:xfrm>
        <a:prstGeom prst="rect">
          <a:avLst/>
        </a:prstGeom>
        <a:noFill/>
        <a:ln w="9525">
          <a:miter lim="800000"/>
          <a:headEnd/>
          <a:tailEnd/>
        </a:ln>
      </xdr:spPr>
      <xdr:txBody>
        <a:bodyPr vertOverflow="clip" wrap="square" lIns="36576" tIns="32004" rIns="36576" bIns="32004" anchor="ctr" upright="1"/>
        <a:lstStyle/>
        <a:p>
          <a:pPr algn="ctr" rtl="0">
            <a:defRPr sz="1000"/>
          </a:pPr>
          <a:r>
            <a:rPr lang="en-029" sz="1100" b="0" i="0" u="none" strike="noStrike" baseline="0">
              <a:solidFill>
                <a:srgbClr val="000000"/>
              </a:solidFill>
              <a:latin typeface="Calibri"/>
              <a:cs typeface="Calibri"/>
            </a:rPr>
            <a:t>BACK</a:t>
          </a:r>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xdr:from>
      <xdr:col>5</xdr:col>
      <xdr:colOff>0</xdr:colOff>
      <xdr:row>1</xdr:row>
      <xdr:rowOff>19049</xdr:rowOff>
    </xdr:from>
    <xdr:to>
      <xdr:col>9</xdr:col>
      <xdr:colOff>38100</xdr:colOff>
      <xdr:row>4</xdr:row>
      <xdr:rowOff>1390650</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9877425" y="219074"/>
          <a:ext cx="2781300" cy="3552826"/>
        </a:xfrm>
        <a:prstGeom prst="rect">
          <a:avLst/>
        </a:prstGeom>
        <a:noFill/>
        <a:ln w="444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0</xdr:row>
      <xdr:rowOff>28575</xdr:rowOff>
    </xdr:from>
    <xdr:to>
      <xdr:col>5</xdr:col>
      <xdr:colOff>19049</xdr:colOff>
      <xdr:row>3</xdr:row>
      <xdr:rowOff>9525</xdr:rowOff>
    </xdr:to>
    <xdr:sp macro="" textlink="">
      <xdr:nvSpPr>
        <xdr:cNvPr id="8" name="Rectangle 7">
          <a:extLst>
            <a:ext uri="{FF2B5EF4-FFF2-40B4-BE49-F238E27FC236}">
              <a16:creationId xmlns:a16="http://schemas.microsoft.com/office/drawing/2014/main" id="{00000000-0008-0000-0800-000008000000}"/>
            </a:ext>
          </a:extLst>
        </xdr:cNvPr>
        <xdr:cNvSpPr/>
      </xdr:nvSpPr>
      <xdr:spPr>
        <a:xfrm>
          <a:off x="7153275" y="28575"/>
          <a:ext cx="2743199" cy="2209800"/>
        </a:xfrm>
        <a:prstGeom prst="rect">
          <a:avLst/>
        </a:prstGeom>
        <a:noFill/>
        <a:ln w="444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657225</xdr:colOff>
      <xdr:row>10</xdr:row>
      <xdr:rowOff>762000</xdr:rowOff>
    </xdr:from>
    <xdr:ext cx="1424940" cy="659130"/>
    <xdr:sp macro="" textlink="">
      <xdr:nvSpPr>
        <xdr:cNvPr id="2" name="Button 2" hidden="1">
          <a:extLst>
            <a:ext uri="{63B3BB69-23CF-44E3-9099-C40C66FF867C}">
              <a14:compatExt xmlns:a14="http://schemas.microsoft.com/office/drawing/2010/main" spid="_x0000_s21506"/>
            </a:ext>
            <a:ext uri="{FF2B5EF4-FFF2-40B4-BE49-F238E27FC236}">
              <a16:creationId xmlns:a16="http://schemas.microsoft.com/office/drawing/2014/main" id="{BD2B25E7-2890-4FCC-94F6-E7D9E108B0B7}"/>
            </a:ext>
          </a:extLst>
        </xdr:cNvPr>
        <xdr:cNvSpPr/>
      </xdr:nvSpPr>
      <xdr:spPr bwMode="auto">
        <a:xfrm>
          <a:off x="7781925" y="6377940"/>
          <a:ext cx="1424940" cy="659130"/>
        </a:xfrm>
        <a:prstGeom prst="rect">
          <a:avLst/>
        </a:prstGeom>
        <a:noFill/>
        <a:ln w="9525">
          <a:miter lim="800000"/>
          <a:headEnd/>
          <a:tailEnd/>
        </a:ln>
      </xdr:spPr>
      <xdr:txBody>
        <a:bodyPr vertOverflow="clip" wrap="square" lIns="36576" tIns="32004" rIns="36576" bIns="32004" anchor="ctr" upright="1"/>
        <a:lstStyle/>
        <a:p>
          <a:pPr algn="ctr" rtl="0">
            <a:defRPr sz="1000"/>
          </a:pPr>
          <a:r>
            <a:rPr lang="en-029" sz="1100" b="0" i="0" u="none" strike="noStrike" baseline="0">
              <a:solidFill>
                <a:srgbClr val="000000"/>
              </a:solidFill>
              <a:latin typeface="Calibri"/>
              <a:cs typeface="Calibri"/>
            </a:rPr>
            <a:t>BACK</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xdr:from>
      <xdr:col>1</xdr:col>
      <xdr:colOff>59531</xdr:colOff>
      <xdr:row>6</xdr:row>
      <xdr:rowOff>83344</xdr:rowOff>
    </xdr:from>
    <xdr:to>
      <xdr:col>5</xdr:col>
      <xdr:colOff>364331</xdr:colOff>
      <xdr:row>27</xdr:row>
      <xdr:rowOff>127000</xdr:rowOff>
    </xdr:to>
    <xdr:grpSp>
      <xdr:nvGrpSpPr>
        <xdr:cNvPr id="29758" name="Group 29757">
          <a:extLst>
            <a:ext uri="{FF2B5EF4-FFF2-40B4-BE49-F238E27FC236}">
              <a16:creationId xmlns:a16="http://schemas.microsoft.com/office/drawing/2014/main" id="{00000000-0008-0000-0900-00003E740000}"/>
            </a:ext>
          </a:extLst>
        </xdr:cNvPr>
        <xdr:cNvGrpSpPr/>
      </xdr:nvGrpSpPr>
      <xdr:grpSpPr>
        <a:xfrm>
          <a:off x="745331" y="1283494"/>
          <a:ext cx="3048000" cy="4244181"/>
          <a:chOff x="750094" y="1285875"/>
          <a:chExt cx="3067050" cy="4294188"/>
        </a:xfrm>
      </xdr:grpSpPr>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750094" y="1285875"/>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63. WHAT IF</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you needed to be rescued during a humanitarian catastrophe?</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UN-ASIGN Crowd is a free application used by the humanitarian community to facilitate the collection of photos, assessments, and geo-located text messaging in the field. It is specifically designed to work over low bandwidth connections, reducing bandwidth consumption by close to 90%. Photos appear in real time as long as the volunteer has a GSM or Internet connection; otherwise, they are stored and uploaded when connectivity is restored. </a:t>
            </a:r>
            <a:endParaRPr lang="en-US" sz="1100"/>
          </a:p>
        </xdr:txBody>
      </xdr:sp>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750094" y="4187008"/>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14" name="TextBox 13">
            <a:extLst>
              <a:ext uri="{FF2B5EF4-FFF2-40B4-BE49-F238E27FC236}">
                <a16:creationId xmlns:a16="http://schemas.microsoft.com/office/drawing/2014/main" id="{00000000-0008-0000-0900-00000E000000}"/>
              </a:ext>
            </a:extLst>
          </xdr:cNvPr>
          <xdr:cNvSpPr txBox="1"/>
        </xdr:nvSpPr>
        <xdr:spPr>
          <a:xfrm>
            <a:off x="750094" y="4506517"/>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62446</xdr:colOff>
      <xdr:row>6</xdr:row>
      <xdr:rowOff>75676</xdr:rowOff>
    </xdr:from>
    <xdr:to>
      <xdr:col>5</xdr:col>
      <xdr:colOff>367246</xdr:colOff>
      <xdr:row>27</xdr:row>
      <xdr:rowOff>119332</xdr:rowOff>
    </xdr:to>
    <xdr:grpSp>
      <xdr:nvGrpSpPr>
        <xdr:cNvPr id="29757" name="Group 29756">
          <a:extLst>
            <a:ext uri="{FF2B5EF4-FFF2-40B4-BE49-F238E27FC236}">
              <a16:creationId xmlns:a16="http://schemas.microsoft.com/office/drawing/2014/main" id="{00000000-0008-0000-0900-00003D740000}"/>
            </a:ext>
          </a:extLst>
        </xdr:cNvPr>
        <xdr:cNvGrpSpPr/>
      </xdr:nvGrpSpPr>
      <xdr:grpSpPr>
        <a:xfrm>
          <a:off x="748246" y="1275826"/>
          <a:ext cx="3048000" cy="4244181"/>
          <a:chOff x="10278009" y="289988"/>
          <a:chExt cx="3067050" cy="4294188"/>
        </a:xfrm>
      </xdr:grpSpPr>
      <xdr:sp macro="" textlink="">
        <xdr:nvSpPr>
          <xdr:cNvPr id="76" name="TextBox 75">
            <a:extLst>
              <a:ext uri="{FF2B5EF4-FFF2-40B4-BE49-F238E27FC236}">
                <a16:creationId xmlns:a16="http://schemas.microsoft.com/office/drawing/2014/main" id="{00000000-0008-0000-0900-00004C000000}"/>
              </a:ext>
            </a:extLst>
          </xdr:cNvPr>
          <xdr:cNvSpPr txBox="1"/>
        </xdr:nvSpPr>
        <xdr:spPr>
          <a:xfrm>
            <a:off x="10278009" y="289988"/>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62.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could locate your customers in a simpler way?</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What3words is a simple way to talk about location. They have divided the world into a grid of 3m x 3m squares and assigned each one a unique, 3-word address. This means anyone can accurately find any loction and share it more quickly, easily, and with less ambiguity than using any other system. The service can be used via their free mobile app or online map. It can also be built into any other app, platform, or website with just a few lines of code. UK Emergency Services rolls out what3words in control rooms to save resources, time, and lives.</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endParaRPr lang="en-US" sz="1100"/>
          </a:p>
        </xdr:txBody>
      </xdr:sp>
      <xdr:sp macro="" textlink="">
        <xdr:nvSpPr>
          <xdr:cNvPr id="77" name="TextBox 76">
            <a:extLst>
              <a:ext uri="{FF2B5EF4-FFF2-40B4-BE49-F238E27FC236}">
                <a16:creationId xmlns:a16="http://schemas.microsoft.com/office/drawing/2014/main" id="{00000000-0008-0000-0900-00004D000000}"/>
              </a:ext>
            </a:extLst>
          </xdr:cNvPr>
          <xdr:cNvSpPr txBox="1"/>
        </xdr:nvSpPr>
        <xdr:spPr>
          <a:xfrm>
            <a:off x="10278009" y="3191121"/>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78" name="TextBox 77">
            <a:extLst>
              <a:ext uri="{FF2B5EF4-FFF2-40B4-BE49-F238E27FC236}">
                <a16:creationId xmlns:a16="http://schemas.microsoft.com/office/drawing/2014/main" id="{00000000-0008-0000-0900-00004E000000}"/>
              </a:ext>
            </a:extLst>
          </xdr:cNvPr>
          <xdr:cNvSpPr txBox="1"/>
        </xdr:nvSpPr>
        <xdr:spPr>
          <a:xfrm>
            <a:off x="10278009" y="3510630"/>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54778</xdr:colOff>
      <xdr:row>6</xdr:row>
      <xdr:rowOff>79914</xdr:rowOff>
    </xdr:from>
    <xdr:to>
      <xdr:col>5</xdr:col>
      <xdr:colOff>359578</xdr:colOff>
      <xdr:row>27</xdr:row>
      <xdr:rowOff>123570</xdr:rowOff>
    </xdr:to>
    <xdr:grpSp>
      <xdr:nvGrpSpPr>
        <xdr:cNvPr id="29756" name="Group 29755">
          <a:extLst>
            <a:ext uri="{FF2B5EF4-FFF2-40B4-BE49-F238E27FC236}">
              <a16:creationId xmlns:a16="http://schemas.microsoft.com/office/drawing/2014/main" id="{00000000-0008-0000-0900-00003C740000}"/>
            </a:ext>
          </a:extLst>
        </xdr:cNvPr>
        <xdr:cNvGrpSpPr/>
      </xdr:nvGrpSpPr>
      <xdr:grpSpPr>
        <a:xfrm>
          <a:off x="740578" y="1280064"/>
          <a:ext cx="3048000" cy="4244181"/>
          <a:chOff x="10437028" y="425195"/>
          <a:chExt cx="3067050" cy="4294188"/>
        </a:xfrm>
      </xdr:grpSpPr>
      <xdr:sp macro="" textlink="">
        <xdr:nvSpPr>
          <xdr:cNvPr id="84" name="TextBox 83">
            <a:extLst>
              <a:ext uri="{FF2B5EF4-FFF2-40B4-BE49-F238E27FC236}">
                <a16:creationId xmlns:a16="http://schemas.microsoft.com/office/drawing/2014/main" id="{00000000-0008-0000-0900-000054000000}"/>
              </a:ext>
            </a:extLst>
          </xdr:cNvPr>
          <xdr:cNvSpPr txBox="1"/>
        </xdr:nvSpPr>
        <xdr:spPr>
          <a:xfrm>
            <a:off x="10437028" y="425195"/>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61.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did not need energy to safely store vaccines and other drugs?</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r>
              <a:rPr lang="en-US" sz="1100">
                <a:effectLst/>
                <a:latin typeface="Calibri" panose="020F0502020204030204" pitchFamily="34" charset="0"/>
                <a:ea typeface="Calibri" panose="020F0502020204030204" pitchFamily="34" charset="0"/>
                <a:cs typeface="Arial Narrow" panose="020B0606020202030204" pitchFamily="34" charset="0"/>
              </a:rPr>
              <a:t>Nova Laboratories Ltd. has developed innovative vaccine stabilization technologies inspired by nature. Some plants, animals, and bacteria are able to survive in a dehydrated form for hundreds of years. They do this using a process called anhydrobiosis. Mimicking this strategy enables a cost-effective and simple way of making vaccines and other pharmaceutical products stable for long-term storage, eliminating the need for refrigeration.</a:t>
            </a:r>
            <a:endParaRPr lang="en-US" sz="1100"/>
          </a:p>
        </xdr:txBody>
      </xdr:sp>
      <xdr:sp macro="" textlink="">
        <xdr:nvSpPr>
          <xdr:cNvPr id="85" name="TextBox 84">
            <a:extLst>
              <a:ext uri="{FF2B5EF4-FFF2-40B4-BE49-F238E27FC236}">
                <a16:creationId xmlns:a16="http://schemas.microsoft.com/office/drawing/2014/main" id="{00000000-0008-0000-0900-000055000000}"/>
              </a:ext>
            </a:extLst>
          </xdr:cNvPr>
          <xdr:cNvSpPr txBox="1"/>
        </xdr:nvSpPr>
        <xdr:spPr>
          <a:xfrm>
            <a:off x="10437028" y="3326328"/>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86" name="TextBox 85">
            <a:extLst>
              <a:ext uri="{FF2B5EF4-FFF2-40B4-BE49-F238E27FC236}">
                <a16:creationId xmlns:a16="http://schemas.microsoft.com/office/drawing/2014/main" id="{00000000-0008-0000-0900-000056000000}"/>
              </a:ext>
            </a:extLst>
          </xdr:cNvPr>
          <xdr:cNvSpPr txBox="1"/>
        </xdr:nvSpPr>
        <xdr:spPr>
          <a:xfrm>
            <a:off x="10437028" y="3645837"/>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48432</xdr:colOff>
      <xdr:row>6</xdr:row>
      <xdr:rowOff>72246</xdr:rowOff>
    </xdr:from>
    <xdr:to>
      <xdr:col>5</xdr:col>
      <xdr:colOff>353232</xdr:colOff>
      <xdr:row>27</xdr:row>
      <xdr:rowOff>115902</xdr:rowOff>
    </xdr:to>
    <xdr:grpSp>
      <xdr:nvGrpSpPr>
        <xdr:cNvPr id="29755" name="Group 29754">
          <a:extLst>
            <a:ext uri="{FF2B5EF4-FFF2-40B4-BE49-F238E27FC236}">
              <a16:creationId xmlns:a16="http://schemas.microsoft.com/office/drawing/2014/main" id="{00000000-0008-0000-0900-00003B740000}"/>
            </a:ext>
          </a:extLst>
        </xdr:cNvPr>
        <xdr:cNvGrpSpPr/>
      </xdr:nvGrpSpPr>
      <xdr:grpSpPr>
        <a:xfrm>
          <a:off x="734232" y="1272396"/>
          <a:ext cx="3048000" cy="4244181"/>
          <a:chOff x="10418777" y="536589"/>
          <a:chExt cx="3067050" cy="4294188"/>
        </a:xfrm>
      </xdr:grpSpPr>
      <xdr:sp macro="" textlink="">
        <xdr:nvSpPr>
          <xdr:cNvPr id="88" name="TextBox 87">
            <a:extLst>
              <a:ext uri="{FF2B5EF4-FFF2-40B4-BE49-F238E27FC236}">
                <a16:creationId xmlns:a16="http://schemas.microsoft.com/office/drawing/2014/main" id="{00000000-0008-0000-0900-000058000000}"/>
              </a:ext>
            </a:extLst>
          </xdr:cNvPr>
          <xdr:cNvSpPr txBox="1"/>
        </xdr:nvSpPr>
        <xdr:spPr>
          <a:xfrm>
            <a:off x="10418777" y="536589"/>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60. WHAT IF</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your company was honest about what they were selling?</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Honest is a company that wants to support ethical consumerism by providing safe household products. They ensure that you don’t have to choose between what works and what’s good for you. They support R&amp;D that focuses on finding new ways to maximize the use of renewable resources, like plant-derived ingredients and recycled materials. </a:t>
            </a:r>
            <a:endParaRPr lang="en-US" sz="1100"/>
          </a:p>
        </xdr:txBody>
      </xdr:sp>
      <xdr:sp macro="" textlink="">
        <xdr:nvSpPr>
          <xdr:cNvPr id="89" name="TextBox 88">
            <a:extLst>
              <a:ext uri="{FF2B5EF4-FFF2-40B4-BE49-F238E27FC236}">
                <a16:creationId xmlns:a16="http://schemas.microsoft.com/office/drawing/2014/main" id="{00000000-0008-0000-0900-000059000000}"/>
              </a:ext>
            </a:extLst>
          </xdr:cNvPr>
          <xdr:cNvSpPr txBox="1"/>
        </xdr:nvSpPr>
        <xdr:spPr>
          <a:xfrm>
            <a:off x="10418777" y="3437722"/>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90" name="TextBox 89">
            <a:extLst>
              <a:ext uri="{FF2B5EF4-FFF2-40B4-BE49-F238E27FC236}">
                <a16:creationId xmlns:a16="http://schemas.microsoft.com/office/drawing/2014/main" id="{00000000-0008-0000-0900-00005A000000}"/>
              </a:ext>
            </a:extLst>
          </xdr:cNvPr>
          <xdr:cNvSpPr txBox="1"/>
        </xdr:nvSpPr>
        <xdr:spPr>
          <a:xfrm>
            <a:off x="10418777" y="3757231"/>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53994</xdr:colOff>
      <xdr:row>6</xdr:row>
      <xdr:rowOff>65901</xdr:rowOff>
    </xdr:from>
    <xdr:to>
      <xdr:col>5</xdr:col>
      <xdr:colOff>358794</xdr:colOff>
      <xdr:row>27</xdr:row>
      <xdr:rowOff>109557</xdr:rowOff>
    </xdr:to>
    <xdr:grpSp>
      <xdr:nvGrpSpPr>
        <xdr:cNvPr id="29754" name="Group 29753">
          <a:extLst>
            <a:ext uri="{FF2B5EF4-FFF2-40B4-BE49-F238E27FC236}">
              <a16:creationId xmlns:a16="http://schemas.microsoft.com/office/drawing/2014/main" id="{00000000-0008-0000-0900-00003A740000}"/>
            </a:ext>
          </a:extLst>
        </xdr:cNvPr>
        <xdr:cNvGrpSpPr/>
      </xdr:nvGrpSpPr>
      <xdr:grpSpPr>
        <a:xfrm>
          <a:off x="739794" y="1266051"/>
          <a:ext cx="3048000" cy="4244181"/>
          <a:chOff x="10567213" y="768369"/>
          <a:chExt cx="3067050" cy="4294188"/>
        </a:xfrm>
      </xdr:grpSpPr>
      <xdr:sp macro="" textlink="">
        <xdr:nvSpPr>
          <xdr:cNvPr id="96" name="TextBox 95">
            <a:extLst>
              <a:ext uri="{FF2B5EF4-FFF2-40B4-BE49-F238E27FC236}">
                <a16:creationId xmlns:a16="http://schemas.microsoft.com/office/drawing/2014/main" id="{00000000-0008-0000-0900-000060000000}"/>
              </a:ext>
            </a:extLst>
          </xdr:cNvPr>
          <xdr:cNvSpPr txBox="1"/>
        </xdr:nvSpPr>
        <xdr:spPr>
          <a:xfrm>
            <a:off x="10567213" y="768369"/>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59. WHAT IF</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company could employ accessible resource to perform humanitarian work?</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SAVE volunteering was established in 2006 in Cape Town, South Africa. With the assistance of volunteers, they develop and provide effective programs to local communities, pre-schools, and schools to assist with educational programs, youth development, sports, and skills development that will enable young people to rise above the vicious circle of poverty.</a:t>
            </a:r>
            <a:endParaRPr lang="en-US" sz="1100"/>
          </a:p>
        </xdr:txBody>
      </xdr:sp>
      <xdr:sp macro="" textlink="">
        <xdr:nvSpPr>
          <xdr:cNvPr id="97" name="TextBox 96">
            <a:extLst>
              <a:ext uri="{FF2B5EF4-FFF2-40B4-BE49-F238E27FC236}">
                <a16:creationId xmlns:a16="http://schemas.microsoft.com/office/drawing/2014/main" id="{00000000-0008-0000-0900-000061000000}"/>
              </a:ext>
            </a:extLst>
          </xdr:cNvPr>
          <xdr:cNvSpPr txBox="1"/>
        </xdr:nvSpPr>
        <xdr:spPr>
          <a:xfrm>
            <a:off x="10567213" y="3669502"/>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98" name="TextBox 97">
            <a:extLst>
              <a:ext uri="{FF2B5EF4-FFF2-40B4-BE49-F238E27FC236}">
                <a16:creationId xmlns:a16="http://schemas.microsoft.com/office/drawing/2014/main" id="{00000000-0008-0000-0900-000062000000}"/>
              </a:ext>
            </a:extLst>
          </xdr:cNvPr>
          <xdr:cNvSpPr txBox="1"/>
        </xdr:nvSpPr>
        <xdr:spPr>
          <a:xfrm>
            <a:off x="10567213" y="3989011"/>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58232</xdr:colOff>
      <xdr:row>6</xdr:row>
      <xdr:rowOff>70139</xdr:rowOff>
    </xdr:from>
    <xdr:to>
      <xdr:col>5</xdr:col>
      <xdr:colOff>363032</xdr:colOff>
      <xdr:row>27</xdr:row>
      <xdr:rowOff>113795</xdr:rowOff>
    </xdr:to>
    <xdr:grpSp>
      <xdr:nvGrpSpPr>
        <xdr:cNvPr id="29753" name="Group 29752">
          <a:extLst>
            <a:ext uri="{FF2B5EF4-FFF2-40B4-BE49-F238E27FC236}">
              <a16:creationId xmlns:a16="http://schemas.microsoft.com/office/drawing/2014/main" id="{00000000-0008-0000-0900-000039740000}"/>
            </a:ext>
          </a:extLst>
        </xdr:cNvPr>
        <xdr:cNvGrpSpPr/>
      </xdr:nvGrpSpPr>
      <xdr:grpSpPr>
        <a:xfrm>
          <a:off x="744032" y="1270289"/>
          <a:ext cx="3048000" cy="4244181"/>
          <a:chOff x="10202358" y="1177420"/>
          <a:chExt cx="3067050" cy="4294188"/>
        </a:xfrm>
      </xdr:grpSpPr>
      <xdr:sp macro="" textlink="">
        <xdr:nvSpPr>
          <xdr:cNvPr id="104" name="TextBox 103">
            <a:extLst>
              <a:ext uri="{FF2B5EF4-FFF2-40B4-BE49-F238E27FC236}">
                <a16:creationId xmlns:a16="http://schemas.microsoft.com/office/drawing/2014/main" id="{00000000-0008-0000-0900-000068000000}"/>
              </a:ext>
            </a:extLst>
          </xdr:cNvPr>
          <xdr:cNvSpPr txBox="1"/>
        </xdr:nvSpPr>
        <xdr:spPr>
          <a:xfrm>
            <a:off x="10202358" y="1177420"/>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58. WHAT IF</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your company used a one-for-one business model?</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TOMS Shoes’ gives one pair of shoes to kids in developing countries for each pair of shoes sold. Based on the success of this one-for-one business model, other companies began to follow it.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Warby Parker donates eyeglasses to people in need, while companies like Soapbox Soaps and Two Degrees Food employ the model to help with poor hygiene and hunger.</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endParaRPr lang="en-US" sz="1100"/>
          </a:p>
        </xdr:txBody>
      </xdr:sp>
      <xdr:sp macro="" textlink="">
        <xdr:nvSpPr>
          <xdr:cNvPr id="105" name="TextBox 104">
            <a:extLst>
              <a:ext uri="{FF2B5EF4-FFF2-40B4-BE49-F238E27FC236}">
                <a16:creationId xmlns:a16="http://schemas.microsoft.com/office/drawing/2014/main" id="{00000000-0008-0000-0900-000069000000}"/>
              </a:ext>
            </a:extLst>
          </xdr:cNvPr>
          <xdr:cNvSpPr txBox="1"/>
        </xdr:nvSpPr>
        <xdr:spPr>
          <a:xfrm>
            <a:off x="10202358" y="4078553"/>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106" name="TextBox 105">
            <a:extLst>
              <a:ext uri="{FF2B5EF4-FFF2-40B4-BE49-F238E27FC236}">
                <a16:creationId xmlns:a16="http://schemas.microsoft.com/office/drawing/2014/main" id="{00000000-0008-0000-0900-00006A000000}"/>
              </a:ext>
            </a:extLst>
          </xdr:cNvPr>
          <xdr:cNvSpPr txBox="1"/>
        </xdr:nvSpPr>
        <xdr:spPr>
          <a:xfrm>
            <a:off x="10202358" y="4398062"/>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50564</xdr:colOff>
      <xdr:row>6</xdr:row>
      <xdr:rowOff>86283</xdr:rowOff>
    </xdr:from>
    <xdr:to>
      <xdr:col>5</xdr:col>
      <xdr:colOff>355364</xdr:colOff>
      <xdr:row>27</xdr:row>
      <xdr:rowOff>129939</xdr:rowOff>
    </xdr:to>
    <xdr:grpSp>
      <xdr:nvGrpSpPr>
        <xdr:cNvPr id="29752" name="Group 29751">
          <a:extLst>
            <a:ext uri="{FF2B5EF4-FFF2-40B4-BE49-F238E27FC236}">
              <a16:creationId xmlns:a16="http://schemas.microsoft.com/office/drawing/2014/main" id="{00000000-0008-0000-0900-000038740000}"/>
            </a:ext>
          </a:extLst>
        </xdr:cNvPr>
        <xdr:cNvGrpSpPr/>
      </xdr:nvGrpSpPr>
      <xdr:grpSpPr>
        <a:xfrm>
          <a:off x="736364" y="1286433"/>
          <a:ext cx="3048000" cy="4244181"/>
          <a:chOff x="10158970" y="1181657"/>
          <a:chExt cx="3067050" cy="4294188"/>
        </a:xfrm>
      </xdr:grpSpPr>
      <xdr:sp macro="" textlink="">
        <xdr:nvSpPr>
          <xdr:cNvPr id="112" name="TextBox 111">
            <a:extLst>
              <a:ext uri="{FF2B5EF4-FFF2-40B4-BE49-F238E27FC236}">
                <a16:creationId xmlns:a16="http://schemas.microsoft.com/office/drawing/2014/main" id="{00000000-0008-0000-0900-000070000000}"/>
              </a:ext>
            </a:extLst>
          </xdr:cNvPr>
          <xdr:cNvSpPr txBox="1"/>
        </xdr:nvSpPr>
        <xdr:spPr>
          <a:xfrm>
            <a:off x="10158970" y="1181657"/>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57.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business did not need international aid but… a local market?</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Many current aid strategies risk undermining, rather than supporting, local markets’ capacity to support refugees. Instead of traditional humanitarian aid models that give away supplies and services such as food and materials, Mercy Corps is trying to build up local market systems to meet these needs. For example, it is using cash-based assistance and matching local businesses’ needs with refugee skills so that earned income channels back into local markets. </a:t>
            </a:r>
            <a:endParaRPr lang="en-US" sz="1100"/>
          </a:p>
        </xdr:txBody>
      </xdr:sp>
      <xdr:sp macro="" textlink="">
        <xdr:nvSpPr>
          <xdr:cNvPr id="113" name="TextBox 112">
            <a:extLst>
              <a:ext uri="{FF2B5EF4-FFF2-40B4-BE49-F238E27FC236}">
                <a16:creationId xmlns:a16="http://schemas.microsoft.com/office/drawing/2014/main" id="{00000000-0008-0000-0900-000071000000}"/>
              </a:ext>
            </a:extLst>
          </xdr:cNvPr>
          <xdr:cNvSpPr txBox="1"/>
        </xdr:nvSpPr>
        <xdr:spPr>
          <a:xfrm>
            <a:off x="10158970" y="4082790"/>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114" name="TextBox 113">
            <a:extLst>
              <a:ext uri="{FF2B5EF4-FFF2-40B4-BE49-F238E27FC236}">
                <a16:creationId xmlns:a16="http://schemas.microsoft.com/office/drawing/2014/main" id="{00000000-0008-0000-0900-000072000000}"/>
              </a:ext>
            </a:extLst>
          </xdr:cNvPr>
          <xdr:cNvSpPr txBox="1"/>
        </xdr:nvSpPr>
        <xdr:spPr>
          <a:xfrm>
            <a:off x="10158970" y="4402299"/>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56125</xdr:colOff>
      <xdr:row>6</xdr:row>
      <xdr:rowOff>79937</xdr:rowOff>
    </xdr:from>
    <xdr:to>
      <xdr:col>5</xdr:col>
      <xdr:colOff>360925</xdr:colOff>
      <xdr:row>27</xdr:row>
      <xdr:rowOff>123593</xdr:rowOff>
    </xdr:to>
    <xdr:grpSp>
      <xdr:nvGrpSpPr>
        <xdr:cNvPr id="29751" name="Group 29750">
          <a:extLst>
            <a:ext uri="{FF2B5EF4-FFF2-40B4-BE49-F238E27FC236}">
              <a16:creationId xmlns:a16="http://schemas.microsoft.com/office/drawing/2014/main" id="{00000000-0008-0000-0900-000037740000}"/>
            </a:ext>
          </a:extLst>
        </xdr:cNvPr>
        <xdr:cNvGrpSpPr/>
      </xdr:nvGrpSpPr>
      <xdr:grpSpPr>
        <a:xfrm>
          <a:off x="741925" y="1280087"/>
          <a:ext cx="3048000" cy="4244181"/>
          <a:chOff x="10736032" y="1103875"/>
          <a:chExt cx="3067050" cy="4294188"/>
        </a:xfrm>
      </xdr:grpSpPr>
      <xdr:sp macro="" textlink="">
        <xdr:nvSpPr>
          <xdr:cNvPr id="120" name="TextBox 119">
            <a:extLst>
              <a:ext uri="{FF2B5EF4-FFF2-40B4-BE49-F238E27FC236}">
                <a16:creationId xmlns:a16="http://schemas.microsoft.com/office/drawing/2014/main" id="{00000000-0008-0000-0900-000078000000}"/>
              </a:ext>
            </a:extLst>
          </xdr:cNvPr>
          <xdr:cNvSpPr txBox="1"/>
        </xdr:nvSpPr>
        <xdr:spPr>
          <a:xfrm>
            <a:off x="10736032" y="1103875"/>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56.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your ROI depended on your employees‘ health conditions?</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The Health Enables Returns (HERproject) is a multi-company initiative run by BSR and supported by the Levi Strauss Foundation and the Swedish International Development Cooperation Agency. HERproject raises awareness of women’s health issues. In a factory in Karachi, HERproject has reduced absenteeism by 11%, thanks to education about menstrual hygiene and provision of sanitary napkins in the factory clinic at a subsidized cost.</a:t>
            </a:r>
            <a:endParaRPr lang="en-US" sz="1100"/>
          </a:p>
        </xdr:txBody>
      </xdr:sp>
      <xdr:sp macro="" textlink="">
        <xdr:nvSpPr>
          <xdr:cNvPr id="121" name="TextBox 120">
            <a:extLst>
              <a:ext uri="{FF2B5EF4-FFF2-40B4-BE49-F238E27FC236}">
                <a16:creationId xmlns:a16="http://schemas.microsoft.com/office/drawing/2014/main" id="{00000000-0008-0000-0900-000079000000}"/>
              </a:ext>
            </a:extLst>
          </xdr:cNvPr>
          <xdr:cNvSpPr txBox="1"/>
        </xdr:nvSpPr>
        <xdr:spPr>
          <a:xfrm>
            <a:off x="10736032" y="4005008"/>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122" name="TextBox 121">
            <a:extLst>
              <a:ext uri="{FF2B5EF4-FFF2-40B4-BE49-F238E27FC236}">
                <a16:creationId xmlns:a16="http://schemas.microsoft.com/office/drawing/2014/main" id="{00000000-0008-0000-0900-00007A000000}"/>
              </a:ext>
            </a:extLst>
          </xdr:cNvPr>
          <xdr:cNvSpPr txBox="1"/>
        </xdr:nvSpPr>
        <xdr:spPr>
          <a:xfrm>
            <a:off x="10736032" y="4324517"/>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48456</xdr:colOff>
      <xdr:row>6</xdr:row>
      <xdr:rowOff>72270</xdr:rowOff>
    </xdr:from>
    <xdr:to>
      <xdr:col>5</xdr:col>
      <xdr:colOff>353256</xdr:colOff>
      <xdr:row>27</xdr:row>
      <xdr:rowOff>115926</xdr:rowOff>
    </xdr:to>
    <xdr:grpSp>
      <xdr:nvGrpSpPr>
        <xdr:cNvPr id="29750" name="Group 29749">
          <a:extLst>
            <a:ext uri="{FF2B5EF4-FFF2-40B4-BE49-F238E27FC236}">
              <a16:creationId xmlns:a16="http://schemas.microsoft.com/office/drawing/2014/main" id="{00000000-0008-0000-0900-000036740000}"/>
            </a:ext>
          </a:extLst>
        </xdr:cNvPr>
        <xdr:cNvGrpSpPr/>
      </xdr:nvGrpSpPr>
      <xdr:grpSpPr>
        <a:xfrm>
          <a:off x="734256" y="1272420"/>
          <a:ext cx="3048000" cy="4244181"/>
          <a:chOff x="10109238" y="1215269"/>
          <a:chExt cx="3067050" cy="4294188"/>
        </a:xfrm>
      </xdr:grpSpPr>
      <xdr:sp macro="" textlink="">
        <xdr:nvSpPr>
          <xdr:cNvPr id="128" name="TextBox 127">
            <a:extLst>
              <a:ext uri="{FF2B5EF4-FFF2-40B4-BE49-F238E27FC236}">
                <a16:creationId xmlns:a16="http://schemas.microsoft.com/office/drawing/2014/main" id="{00000000-0008-0000-0900-000080000000}"/>
              </a:ext>
            </a:extLst>
          </xdr:cNvPr>
          <xdr:cNvSpPr txBox="1"/>
        </xdr:nvSpPr>
        <xdr:spPr>
          <a:xfrm>
            <a:off x="10109238" y="1215269"/>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55.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your cutomer us risky fuel to run their lives?</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Refrigerators, lamps, and stoves enable vital health services, including vaccinations, and they need fuel to operate. Rural health centers operated by the Mozambique Ministry of Health have relied in the past on dangerous and inefficient erosene. In 2002, Seattle-based VillageReach and its local partner, Mozambique Foundation for Community Development (FDC), established VidaGas to provide rural health centers with safer propane services. A pilot was launched and a micro-lending scheme was developed to ensure affordability. </a:t>
            </a:r>
            <a:endParaRPr lang="en-US" sz="1100"/>
          </a:p>
        </xdr:txBody>
      </xdr:sp>
      <xdr:sp macro="" textlink="">
        <xdr:nvSpPr>
          <xdr:cNvPr id="129" name="TextBox 128">
            <a:extLst>
              <a:ext uri="{FF2B5EF4-FFF2-40B4-BE49-F238E27FC236}">
                <a16:creationId xmlns:a16="http://schemas.microsoft.com/office/drawing/2014/main" id="{00000000-0008-0000-0900-000081000000}"/>
              </a:ext>
            </a:extLst>
          </xdr:cNvPr>
          <xdr:cNvSpPr txBox="1"/>
        </xdr:nvSpPr>
        <xdr:spPr>
          <a:xfrm>
            <a:off x="10109238" y="4116402"/>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130" name="TextBox 129">
            <a:extLst>
              <a:ext uri="{FF2B5EF4-FFF2-40B4-BE49-F238E27FC236}">
                <a16:creationId xmlns:a16="http://schemas.microsoft.com/office/drawing/2014/main" id="{00000000-0008-0000-0900-000082000000}"/>
              </a:ext>
            </a:extLst>
          </xdr:cNvPr>
          <xdr:cNvSpPr txBox="1"/>
        </xdr:nvSpPr>
        <xdr:spPr>
          <a:xfrm>
            <a:off x="10109238" y="4435911"/>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52694</xdr:colOff>
      <xdr:row>6</xdr:row>
      <xdr:rowOff>77831</xdr:rowOff>
    </xdr:from>
    <xdr:to>
      <xdr:col>5</xdr:col>
      <xdr:colOff>357494</xdr:colOff>
      <xdr:row>27</xdr:row>
      <xdr:rowOff>121487</xdr:rowOff>
    </xdr:to>
    <xdr:grpSp>
      <xdr:nvGrpSpPr>
        <xdr:cNvPr id="29749" name="Group 29748">
          <a:extLst>
            <a:ext uri="{FF2B5EF4-FFF2-40B4-BE49-F238E27FC236}">
              <a16:creationId xmlns:a16="http://schemas.microsoft.com/office/drawing/2014/main" id="{00000000-0008-0000-0900-000035740000}"/>
            </a:ext>
          </a:extLst>
        </xdr:cNvPr>
        <xdr:cNvGrpSpPr/>
      </xdr:nvGrpSpPr>
      <xdr:grpSpPr>
        <a:xfrm>
          <a:off x="738494" y="1277981"/>
          <a:ext cx="3048000" cy="4244181"/>
          <a:chOff x="10053945" y="1137487"/>
          <a:chExt cx="3067050" cy="4294188"/>
        </a:xfrm>
      </xdr:grpSpPr>
      <xdr:sp macro="" textlink="">
        <xdr:nvSpPr>
          <xdr:cNvPr id="136" name="TextBox 135">
            <a:extLst>
              <a:ext uri="{FF2B5EF4-FFF2-40B4-BE49-F238E27FC236}">
                <a16:creationId xmlns:a16="http://schemas.microsoft.com/office/drawing/2014/main" id="{00000000-0008-0000-0900-000088000000}"/>
              </a:ext>
            </a:extLst>
          </xdr:cNvPr>
          <xdr:cNvSpPr txBox="1"/>
        </xdr:nvSpPr>
        <xdr:spPr>
          <a:xfrm>
            <a:off x="10053945" y="1137487"/>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54.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could combat desertification with your business?</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In 2000, Huatai Paper Company launched a new strategy to substitute wood pulp for straw pulp. Mobilizing local farmers to plant fas-growing trees. Farmers get support through technology, educatin, and irrigation. The trees were planted on salinated land, helping to combat further desertification and contributing to carbon-dioxide absorption. Meanwhile, Huatai has grown its newsprint business while reducing its environmental impact and minimizing the risk from volatile import prices for pulp.</a:t>
            </a:r>
            <a:endParaRPr lang="en-US" sz="1100"/>
          </a:p>
        </xdr:txBody>
      </xdr:sp>
      <xdr:sp macro="" textlink="">
        <xdr:nvSpPr>
          <xdr:cNvPr id="137" name="TextBox 136">
            <a:extLst>
              <a:ext uri="{FF2B5EF4-FFF2-40B4-BE49-F238E27FC236}">
                <a16:creationId xmlns:a16="http://schemas.microsoft.com/office/drawing/2014/main" id="{00000000-0008-0000-0900-000089000000}"/>
              </a:ext>
            </a:extLst>
          </xdr:cNvPr>
          <xdr:cNvSpPr txBox="1"/>
        </xdr:nvSpPr>
        <xdr:spPr>
          <a:xfrm>
            <a:off x="10053945" y="4038620"/>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138" name="TextBox 137">
            <a:extLst>
              <a:ext uri="{FF2B5EF4-FFF2-40B4-BE49-F238E27FC236}">
                <a16:creationId xmlns:a16="http://schemas.microsoft.com/office/drawing/2014/main" id="{00000000-0008-0000-0900-00008A000000}"/>
              </a:ext>
            </a:extLst>
          </xdr:cNvPr>
          <xdr:cNvSpPr txBox="1"/>
        </xdr:nvSpPr>
        <xdr:spPr>
          <a:xfrm>
            <a:off x="10053945" y="4358129"/>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56931</xdr:colOff>
      <xdr:row>6</xdr:row>
      <xdr:rowOff>70162</xdr:rowOff>
    </xdr:from>
    <xdr:to>
      <xdr:col>5</xdr:col>
      <xdr:colOff>361731</xdr:colOff>
      <xdr:row>27</xdr:row>
      <xdr:rowOff>113818</xdr:rowOff>
    </xdr:to>
    <xdr:grpSp>
      <xdr:nvGrpSpPr>
        <xdr:cNvPr id="29748" name="Group 29747">
          <a:extLst>
            <a:ext uri="{FF2B5EF4-FFF2-40B4-BE49-F238E27FC236}">
              <a16:creationId xmlns:a16="http://schemas.microsoft.com/office/drawing/2014/main" id="{00000000-0008-0000-0900-000034740000}"/>
            </a:ext>
          </a:extLst>
        </xdr:cNvPr>
        <xdr:cNvGrpSpPr/>
      </xdr:nvGrpSpPr>
      <xdr:grpSpPr>
        <a:xfrm>
          <a:off x="742731" y="1270312"/>
          <a:ext cx="3048000" cy="4244181"/>
          <a:chOff x="10427276" y="1356037"/>
          <a:chExt cx="3067050" cy="4294188"/>
        </a:xfrm>
      </xdr:grpSpPr>
      <xdr:sp macro="" textlink="">
        <xdr:nvSpPr>
          <xdr:cNvPr id="144" name="TextBox 143">
            <a:extLst>
              <a:ext uri="{FF2B5EF4-FFF2-40B4-BE49-F238E27FC236}">
                <a16:creationId xmlns:a16="http://schemas.microsoft.com/office/drawing/2014/main" id="{00000000-0008-0000-0900-000090000000}"/>
              </a:ext>
            </a:extLst>
          </xdr:cNvPr>
          <xdr:cNvSpPr txBox="1"/>
        </xdr:nvSpPr>
        <xdr:spPr>
          <a:xfrm>
            <a:off x="10427276" y="1356037"/>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53.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your products could save people‘s lives?</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r>
              <a:rPr lang="en-US" sz="1000">
                <a:effectLst/>
                <a:latin typeface="Calibri" panose="020F0502020204030204" pitchFamily="34" charset="0"/>
                <a:ea typeface="Calibri" panose="020F0502020204030204" pitchFamily="34" charset="0"/>
                <a:cs typeface="Arial Narrow" panose="020B0606020202030204" pitchFamily="34" charset="0"/>
              </a:rPr>
              <a:t>Diarrhea remains the second leading cause of death among children, with about half of these deaths occuring in South Asia and Africa. Amanz Abantu was set up in 1997, and since then, it has been providing water supply and sanitation to pei-urban and rural communities in the Eastern Cape, through infrastructure that meets international quality standards. Each household gets 25 l of water for free from the State. Additionally, individuals can buy water using pre-paid smartcards. Amanz Abantu has already provided assess to clean water a low cost to 2.5 million people.</a:t>
            </a:r>
            <a:endParaRPr lang="en-US" sz="1000"/>
          </a:p>
        </xdr:txBody>
      </xdr:sp>
      <xdr:sp macro="" textlink="">
        <xdr:nvSpPr>
          <xdr:cNvPr id="145" name="TextBox 144">
            <a:extLst>
              <a:ext uri="{FF2B5EF4-FFF2-40B4-BE49-F238E27FC236}">
                <a16:creationId xmlns:a16="http://schemas.microsoft.com/office/drawing/2014/main" id="{00000000-0008-0000-0900-000091000000}"/>
              </a:ext>
            </a:extLst>
          </xdr:cNvPr>
          <xdr:cNvSpPr txBox="1"/>
        </xdr:nvSpPr>
        <xdr:spPr>
          <a:xfrm>
            <a:off x="10427276" y="4257170"/>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146" name="TextBox 145">
            <a:extLst>
              <a:ext uri="{FF2B5EF4-FFF2-40B4-BE49-F238E27FC236}">
                <a16:creationId xmlns:a16="http://schemas.microsoft.com/office/drawing/2014/main" id="{00000000-0008-0000-0900-000092000000}"/>
              </a:ext>
            </a:extLst>
          </xdr:cNvPr>
          <xdr:cNvSpPr txBox="1"/>
        </xdr:nvSpPr>
        <xdr:spPr>
          <a:xfrm>
            <a:off x="10427276" y="4576679"/>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50587</xdr:colOff>
      <xdr:row>6</xdr:row>
      <xdr:rowOff>74399</xdr:rowOff>
    </xdr:from>
    <xdr:to>
      <xdr:col>5</xdr:col>
      <xdr:colOff>355387</xdr:colOff>
      <xdr:row>27</xdr:row>
      <xdr:rowOff>118055</xdr:rowOff>
    </xdr:to>
    <xdr:grpSp>
      <xdr:nvGrpSpPr>
        <xdr:cNvPr id="29747" name="Group 29746">
          <a:extLst>
            <a:ext uri="{FF2B5EF4-FFF2-40B4-BE49-F238E27FC236}">
              <a16:creationId xmlns:a16="http://schemas.microsoft.com/office/drawing/2014/main" id="{00000000-0008-0000-0900-000033740000}"/>
            </a:ext>
          </a:extLst>
        </xdr:cNvPr>
        <xdr:cNvGrpSpPr/>
      </xdr:nvGrpSpPr>
      <xdr:grpSpPr>
        <a:xfrm>
          <a:off x="736387" y="1274549"/>
          <a:ext cx="3048000" cy="4244181"/>
          <a:chOff x="10218525" y="1241212"/>
          <a:chExt cx="3067050" cy="4294188"/>
        </a:xfrm>
      </xdr:grpSpPr>
      <xdr:sp macro="" textlink="">
        <xdr:nvSpPr>
          <xdr:cNvPr id="152" name="TextBox 151">
            <a:extLst>
              <a:ext uri="{FF2B5EF4-FFF2-40B4-BE49-F238E27FC236}">
                <a16:creationId xmlns:a16="http://schemas.microsoft.com/office/drawing/2014/main" id="{00000000-0008-0000-0900-000098000000}"/>
              </a:ext>
            </a:extLst>
          </xdr:cNvPr>
          <xdr:cNvSpPr txBox="1"/>
        </xdr:nvSpPr>
        <xdr:spPr>
          <a:xfrm>
            <a:off x="10218525" y="1241212"/>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52.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migration was not the solution?</a:t>
            </a: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Hathay Bunano Proshikhan Samity pruduces children‘s toys and clothes by working with around 3,500 poor local women artisans from rural villages. Its products are marketed through wholesale and retail buyers in the EU, USA, and Australia. Payment, while made on a product basis, is in general estimated at about $ 0.14. This is much more attractive than that rural-handicrafts typically earn. Thanks to this attractive income, women no longer have to migrate to urban areas to find work. Moreover, their economic independence has helped to lower early marriages rates.</a:t>
            </a:r>
            <a:endParaRPr lang="en-US" sz="1100"/>
          </a:p>
        </xdr:txBody>
      </xdr:sp>
      <xdr:sp macro="" textlink="">
        <xdr:nvSpPr>
          <xdr:cNvPr id="153" name="TextBox 152">
            <a:extLst>
              <a:ext uri="{FF2B5EF4-FFF2-40B4-BE49-F238E27FC236}">
                <a16:creationId xmlns:a16="http://schemas.microsoft.com/office/drawing/2014/main" id="{00000000-0008-0000-0900-000099000000}"/>
              </a:ext>
            </a:extLst>
          </xdr:cNvPr>
          <xdr:cNvSpPr txBox="1"/>
        </xdr:nvSpPr>
        <xdr:spPr>
          <a:xfrm>
            <a:off x="10218525" y="4142345"/>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154" name="TextBox 153">
            <a:extLst>
              <a:ext uri="{FF2B5EF4-FFF2-40B4-BE49-F238E27FC236}">
                <a16:creationId xmlns:a16="http://schemas.microsoft.com/office/drawing/2014/main" id="{00000000-0008-0000-0900-00009A000000}"/>
              </a:ext>
            </a:extLst>
          </xdr:cNvPr>
          <xdr:cNvSpPr txBox="1"/>
        </xdr:nvSpPr>
        <xdr:spPr>
          <a:xfrm>
            <a:off x="10218525" y="4461854"/>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56148</xdr:colOff>
      <xdr:row>6</xdr:row>
      <xdr:rowOff>79961</xdr:rowOff>
    </xdr:from>
    <xdr:to>
      <xdr:col>5</xdr:col>
      <xdr:colOff>360948</xdr:colOff>
      <xdr:row>27</xdr:row>
      <xdr:rowOff>123617</xdr:rowOff>
    </xdr:to>
    <xdr:grpSp>
      <xdr:nvGrpSpPr>
        <xdr:cNvPr id="29746" name="Group 29745">
          <a:extLst>
            <a:ext uri="{FF2B5EF4-FFF2-40B4-BE49-F238E27FC236}">
              <a16:creationId xmlns:a16="http://schemas.microsoft.com/office/drawing/2014/main" id="{00000000-0008-0000-0900-000032740000}"/>
            </a:ext>
          </a:extLst>
        </xdr:cNvPr>
        <xdr:cNvGrpSpPr/>
      </xdr:nvGrpSpPr>
      <xdr:grpSpPr>
        <a:xfrm>
          <a:off x="741948" y="1280111"/>
          <a:ext cx="3048000" cy="4244181"/>
          <a:chOff x="10105024" y="1306305"/>
          <a:chExt cx="3067050" cy="4294188"/>
        </a:xfrm>
      </xdr:grpSpPr>
      <xdr:sp macro="" textlink="">
        <xdr:nvSpPr>
          <xdr:cNvPr id="156" name="TextBox 155">
            <a:extLst>
              <a:ext uri="{FF2B5EF4-FFF2-40B4-BE49-F238E27FC236}">
                <a16:creationId xmlns:a16="http://schemas.microsoft.com/office/drawing/2014/main" id="{00000000-0008-0000-0900-00009C000000}"/>
              </a:ext>
            </a:extLst>
          </xdr:cNvPr>
          <xdr:cNvSpPr txBox="1"/>
        </xdr:nvSpPr>
        <xdr:spPr>
          <a:xfrm>
            <a:off x="10105024" y="1306305"/>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51.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could leverage refugee talent to partner with them?</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Under the Global Compact on Refugees, refugees are now active participants in the economies and communities where they reside. Pearson’s Every Child Learning partnership with Save the Children aims to improve the learning outcomes and wellbeing of refugee and local Jordanian children using gamifiction. As part of the partnership, Pearson has collaborated with refugee and Jordanian children to design Space Hero (Batl Al Fada’a), a fun and engaging learning app to strengthen the math skills of children aged 9-12.</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endParaRPr lang="en-US" sz="1100"/>
          </a:p>
        </xdr:txBody>
      </xdr:sp>
      <xdr:sp macro="" textlink="">
        <xdr:nvSpPr>
          <xdr:cNvPr id="157" name="TextBox 156">
            <a:extLst>
              <a:ext uri="{FF2B5EF4-FFF2-40B4-BE49-F238E27FC236}">
                <a16:creationId xmlns:a16="http://schemas.microsoft.com/office/drawing/2014/main" id="{00000000-0008-0000-0900-00009D000000}"/>
              </a:ext>
            </a:extLst>
          </xdr:cNvPr>
          <xdr:cNvSpPr txBox="1"/>
        </xdr:nvSpPr>
        <xdr:spPr>
          <a:xfrm>
            <a:off x="10105024" y="4207438"/>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158" name="TextBox 157">
            <a:extLst>
              <a:ext uri="{FF2B5EF4-FFF2-40B4-BE49-F238E27FC236}">
                <a16:creationId xmlns:a16="http://schemas.microsoft.com/office/drawing/2014/main" id="{00000000-0008-0000-0900-00009E000000}"/>
              </a:ext>
            </a:extLst>
          </xdr:cNvPr>
          <xdr:cNvSpPr txBox="1"/>
        </xdr:nvSpPr>
        <xdr:spPr>
          <a:xfrm>
            <a:off x="10105024" y="4526947"/>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48480</xdr:colOff>
      <xdr:row>6</xdr:row>
      <xdr:rowOff>72295</xdr:rowOff>
    </xdr:from>
    <xdr:to>
      <xdr:col>5</xdr:col>
      <xdr:colOff>353280</xdr:colOff>
      <xdr:row>27</xdr:row>
      <xdr:rowOff>115951</xdr:rowOff>
    </xdr:to>
    <xdr:grpSp>
      <xdr:nvGrpSpPr>
        <xdr:cNvPr id="29745" name="Group 29744">
          <a:extLst>
            <a:ext uri="{FF2B5EF4-FFF2-40B4-BE49-F238E27FC236}">
              <a16:creationId xmlns:a16="http://schemas.microsoft.com/office/drawing/2014/main" id="{00000000-0008-0000-0900-000031740000}"/>
            </a:ext>
          </a:extLst>
        </xdr:cNvPr>
        <xdr:cNvGrpSpPr/>
      </xdr:nvGrpSpPr>
      <xdr:grpSpPr>
        <a:xfrm>
          <a:off x="734280" y="1272445"/>
          <a:ext cx="3048000" cy="4244181"/>
          <a:chOff x="10097356" y="1370075"/>
          <a:chExt cx="3067050" cy="4294188"/>
        </a:xfrm>
      </xdr:grpSpPr>
      <xdr:sp macro="" textlink="">
        <xdr:nvSpPr>
          <xdr:cNvPr id="160" name="TextBox 159">
            <a:extLst>
              <a:ext uri="{FF2B5EF4-FFF2-40B4-BE49-F238E27FC236}">
                <a16:creationId xmlns:a16="http://schemas.microsoft.com/office/drawing/2014/main" id="{00000000-0008-0000-0900-0000A0000000}"/>
              </a:ext>
            </a:extLst>
          </xdr:cNvPr>
          <xdr:cNvSpPr txBox="1"/>
        </xdr:nvSpPr>
        <xdr:spPr>
          <a:xfrm>
            <a:off x="10097356" y="1370075"/>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50.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your business could have a positive environmental impact?</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r>
              <a:rPr lang="en-US" sz="1000">
                <a:effectLst/>
                <a:latin typeface="Calibri" panose="020F0502020204030204" pitchFamily="34" charset="0"/>
                <a:ea typeface="Calibri" panose="020F0502020204030204" pitchFamily="34" charset="0"/>
                <a:cs typeface="Arial Narrow" panose="020B0606020202030204" pitchFamily="34" charset="0"/>
              </a:rPr>
              <a:t>Interface makes carpeting for commercial buildings. All of their products are carbon neutral across the entire product lifecycle. Thanks to their efforts, they’ve redesigned the entire manufacturing process to make it circular and less wasteful. One of their products uses discarded fishingnets and collaborates with fishermen from poor rural communities. These fisherman recover the ghost nets that are polluting their oceans and indiscriminately killing sea life, therefore helping conserve and sustainably use the ocean.</a:t>
            </a:r>
            <a:endParaRPr lang="en-US" sz="1000"/>
          </a:p>
        </xdr:txBody>
      </xdr:sp>
      <xdr:sp macro="" textlink="">
        <xdr:nvSpPr>
          <xdr:cNvPr id="161" name="TextBox 160">
            <a:extLst>
              <a:ext uri="{FF2B5EF4-FFF2-40B4-BE49-F238E27FC236}">
                <a16:creationId xmlns:a16="http://schemas.microsoft.com/office/drawing/2014/main" id="{00000000-0008-0000-0900-0000A1000000}"/>
              </a:ext>
            </a:extLst>
          </xdr:cNvPr>
          <xdr:cNvSpPr txBox="1"/>
        </xdr:nvSpPr>
        <xdr:spPr>
          <a:xfrm>
            <a:off x="10097356" y="4271208"/>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162" name="TextBox 161">
            <a:extLst>
              <a:ext uri="{FF2B5EF4-FFF2-40B4-BE49-F238E27FC236}">
                <a16:creationId xmlns:a16="http://schemas.microsoft.com/office/drawing/2014/main" id="{00000000-0008-0000-0900-0000A2000000}"/>
              </a:ext>
            </a:extLst>
          </xdr:cNvPr>
          <xdr:cNvSpPr txBox="1"/>
        </xdr:nvSpPr>
        <xdr:spPr>
          <a:xfrm>
            <a:off x="10097356" y="4590717"/>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54041</xdr:colOff>
      <xdr:row>6</xdr:row>
      <xdr:rowOff>88437</xdr:rowOff>
    </xdr:from>
    <xdr:to>
      <xdr:col>5</xdr:col>
      <xdr:colOff>358841</xdr:colOff>
      <xdr:row>27</xdr:row>
      <xdr:rowOff>132093</xdr:rowOff>
    </xdr:to>
    <xdr:grpSp>
      <xdr:nvGrpSpPr>
        <xdr:cNvPr id="29744" name="Group 29743">
          <a:extLst>
            <a:ext uri="{FF2B5EF4-FFF2-40B4-BE49-F238E27FC236}">
              <a16:creationId xmlns:a16="http://schemas.microsoft.com/office/drawing/2014/main" id="{00000000-0008-0000-0900-000030740000}"/>
            </a:ext>
          </a:extLst>
        </xdr:cNvPr>
        <xdr:cNvGrpSpPr/>
      </xdr:nvGrpSpPr>
      <xdr:grpSpPr>
        <a:xfrm>
          <a:off x="739841" y="1288587"/>
          <a:ext cx="3048000" cy="4244181"/>
          <a:chOff x="9948136" y="1374312"/>
          <a:chExt cx="3067050" cy="4294188"/>
        </a:xfrm>
      </xdr:grpSpPr>
      <xdr:sp macro="" textlink="">
        <xdr:nvSpPr>
          <xdr:cNvPr id="164" name="TextBox 163">
            <a:extLst>
              <a:ext uri="{FF2B5EF4-FFF2-40B4-BE49-F238E27FC236}">
                <a16:creationId xmlns:a16="http://schemas.microsoft.com/office/drawing/2014/main" id="{00000000-0008-0000-0900-0000A4000000}"/>
              </a:ext>
            </a:extLst>
          </xdr:cNvPr>
          <xdr:cNvSpPr txBox="1"/>
        </xdr:nvSpPr>
        <xdr:spPr>
          <a:xfrm>
            <a:off x="9948136" y="1374312"/>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49.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your goal was to create a collaborative ecosystem?</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For many of India‘s rural poor, selling milk is essential to their income. Amul Dairy has organized almost 2.8 million dairy farmers into an integrated system that brings more than 10 million liters of milk to market daily. Amul has transformed the milk calue chain by organizing farmers and creating an efficient handling and marketing system. Milk is collected no more than 10 miles from the farmer using an automated computerized collection system that speeds up weighing, quality testing, and payment processing.</a:t>
            </a:r>
            <a:endParaRPr lang="en-US" sz="1100"/>
          </a:p>
        </xdr:txBody>
      </xdr:sp>
      <xdr:sp macro="" textlink="">
        <xdr:nvSpPr>
          <xdr:cNvPr id="165" name="TextBox 164">
            <a:extLst>
              <a:ext uri="{FF2B5EF4-FFF2-40B4-BE49-F238E27FC236}">
                <a16:creationId xmlns:a16="http://schemas.microsoft.com/office/drawing/2014/main" id="{00000000-0008-0000-0900-0000A5000000}"/>
              </a:ext>
            </a:extLst>
          </xdr:cNvPr>
          <xdr:cNvSpPr txBox="1"/>
        </xdr:nvSpPr>
        <xdr:spPr>
          <a:xfrm>
            <a:off x="9948136" y="4275445"/>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166" name="TextBox 165">
            <a:extLst>
              <a:ext uri="{FF2B5EF4-FFF2-40B4-BE49-F238E27FC236}">
                <a16:creationId xmlns:a16="http://schemas.microsoft.com/office/drawing/2014/main" id="{00000000-0008-0000-0900-0000A6000000}"/>
              </a:ext>
            </a:extLst>
          </xdr:cNvPr>
          <xdr:cNvSpPr txBox="1"/>
        </xdr:nvSpPr>
        <xdr:spPr>
          <a:xfrm>
            <a:off x="9948136" y="4594954"/>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58280</xdr:colOff>
      <xdr:row>6</xdr:row>
      <xdr:rowOff>80768</xdr:rowOff>
    </xdr:from>
    <xdr:to>
      <xdr:col>5</xdr:col>
      <xdr:colOff>363080</xdr:colOff>
      <xdr:row>27</xdr:row>
      <xdr:rowOff>124424</xdr:rowOff>
    </xdr:to>
    <xdr:grpSp>
      <xdr:nvGrpSpPr>
        <xdr:cNvPr id="29743" name="Group 29742">
          <a:extLst>
            <a:ext uri="{FF2B5EF4-FFF2-40B4-BE49-F238E27FC236}">
              <a16:creationId xmlns:a16="http://schemas.microsoft.com/office/drawing/2014/main" id="{00000000-0008-0000-0900-00002F740000}"/>
            </a:ext>
          </a:extLst>
        </xdr:cNvPr>
        <xdr:cNvGrpSpPr/>
      </xdr:nvGrpSpPr>
      <xdr:grpSpPr>
        <a:xfrm>
          <a:off x="744080" y="1280918"/>
          <a:ext cx="3048000" cy="4244181"/>
          <a:chOff x="10095249" y="1378550"/>
          <a:chExt cx="3067050" cy="4294188"/>
        </a:xfrm>
      </xdr:grpSpPr>
      <xdr:sp macro="" textlink="">
        <xdr:nvSpPr>
          <xdr:cNvPr id="172" name="TextBox 171">
            <a:extLst>
              <a:ext uri="{FF2B5EF4-FFF2-40B4-BE49-F238E27FC236}">
                <a16:creationId xmlns:a16="http://schemas.microsoft.com/office/drawing/2014/main" id="{00000000-0008-0000-0900-0000AC000000}"/>
              </a:ext>
            </a:extLst>
          </xdr:cNvPr>
          <xdr:cNvSpPr txBox="1"/>
        </xdr:nvSpPr>
        <xdr:spPr>
          <a:xfrm>
            <a:off x="10095249" y="1378550"/>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48.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your business aim was to create jobs and deliver capabilities?</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05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r>
              <a:rPr lang="en-US" sz="1050">
                <a:effectLst/>
                <a:latin typeface="Calibri" panose="020F0502020204030204" pitchFamily="34" charset="0"/>
                <a:ea typeface="Calibri" panose="020F0502020204030204" pitchFamily="34" charset="0"/>
                <a:cs typeface="Arial Narrow" panose="020B0606020202030204" pitchFamily="34" charset="0"/>
              </a:rPr>
              <a:t>Saraman is a start-up that produces affordable, earthquake-proof, prefabricated steel structures for houses, schools, and hospitals in Iran. Saraman trains young graduates to later implement their construction practices. The company has 12 permanent employees and more than 60 workers on construction sites, with other jobs being created for the lower-income communities that engage in the construction projects. While creating jobs, Saraman delivers capabilities and grows its business.</a:t>
            </a:r>
            <a:endParaRPr lang="en-US" sz="1050"/>
          </a:p>
        </xdr:txBody>
      </xdr:sp>
      <xdr:sp macro="" textlink="">
        <xdr:nvSpPr>
          <xdr:cNvPr id="173" name="TextBox 172">
            <a:extLst>
              <a:ext uri="{FF2B5EF4-FFF2-40B4-BE49-F238E27FC236}">
                <a16:creationId xmlns:a16="http://schemas.microsoft.com/office/drawing/2014/main" id="{00000000-0008-0000-0900-0000AD000000}"/>
              </a:ext>
            </a:extLst>
          </xdr:cNvPr>
          <xdr:cNvSpPr txBox="1"/>
        </xdr:nvSpPr>
        <xdr:spPr>
          <a:xfrm>
            <a:off x="10095249" y="4279683"/>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174" name="TextBox 173">
            <a:extLst>
              <a:ext uri="{FF2B5EF4-FFF2-40B4-BE49-F238E27FC236}">
                <a16:creationId xmlns:a16="http://schemas.microsoft.com/office/drawing/2014/main" id="{00000000-0008-0000-0900-0000AE000000}"/>
              </a:ext>
            </a:extLst>
          </xdr:cNvPr>
          <xdr:cNvSpPr txBox="1"/>
        </xdr:nvSpPr>
        <xdr:spPr>
          <a:xfrm>
            <a:off x="10095249" y="4599192"/>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56933</xdr:colOff>
      <xdr:row>6</xdr:row>
      <xdr:rowOff>80745</xdr:rowOff>
    </xdr:from>
    <xdr:to>
      <xdr:col>5</xdr:col>
      <xdr:colOff>361733</xdr:colOff>
      <xdr:row>27</xdr:row>
      <xdr:rowOff>124401</xdr:rowOff>
    </xdr:to>
    <xdr:grpSp>
      <xdr:nvGrpSpPr>
        <xdr:cNvPr id="29742" name="Group 29741">
          <a:extLst>
            <a:ext uri="{FF2B5EF4-FFF2-40B4-BE49-F238E27FC236}">
              <a16:creationId xmlns:a16="http://schemas.microsoft.com/office/drawing/2014/main" id="{00000000-0008-0000-0900-00002E740000}"/>
            </a:ext>
          </a:extLst>
        </xdr:cNvPr>
        <xdr:cNvGrpSpPr/>
      </xdr:nvGrpSpPr>
      <xdr:grpSpPr>
        <a:xfrm>
          <a:off x="742733" y="1280895"/>
          <a:ext cx="3048000" cy="4244181"/>
          <a:chOff x="10093902" y="1342807"/>
          <a:chExt cx="3067050" cy="4294188"/>
        </a:xfrm>
      </xdr:grpSpPr>
      <xdr:sp macro="" textlink="">
        <xdr:nvSpPr>
          <xdr:cNvPr id="180" name="TextBox 179">
            <a:extLst>
              <a:ext uri="{FF2B5EF4-FFF2-40B4-BE49-F238E27FC236}">
                <a16:creationId xmlns:a16="http://schemas.microsoft.com/office/drawing/2014/main" id="{00000000-0008-0000-0900-0000B4000000}"/>
              </a:ext>
            </a:extLst>
          </xdr:cNvPr>
          <xdr:cNvSpPr txBox="1"/>
        </xdr:nvSpPr>
        <xdr:spPr>
          <a:xfrm>
            <a:off x="10093902" y="1342807"/>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47.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your customers‘ lives were conditioned by traditional beliefs?</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In Nepal, there is a 100-year-old practice dictting that menstruating women have to be isolated in so-called „Red Huts“ to prevent destruction and death to their family. But during this forced isolation, it‘s not unusual that women die from snake bites, smoke inhalation or fire. Now, locally government economic support is now denied to families who keep their daughters out of school during menstruation, and this traditional belief is punishable with 3,000 rupee fine.</a:t>
            </a:r>
            <a:endParaRPr lang="en-US" sz="1100"/>
          </a:p>
        </xdr:txBody>
      </xdr:sp>
      <xdr:sp macro="" textlink="">
        <xdr:nvSpPr>
          <xdr:cNvPr id="181" name="TextBox 180">
            <a:extLst>
              <a:ext uri="{FF2B5EF4-FFF2-40B4-BE49-F238E27FC236}">
                <a16:creationId xmlns:a16="http://schemas.microsoft.com/office/drawing/2014/main" id="{00000000-0008-0000-0900-0000B5000000}"/>
              </a:ext>
            </a:extLst>
          </xdr:cNvPr>
          <xdr:cNvSpPr txBox="1"/>
        </xdr:nvSpPr>
        <xdr:spPr>
          <a:xfrm>
            <a:off x="10093902" y="4243940"/>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182" name="TextBox 181">
            <a:extLst>
              <a:ext uri="{FF2B5EF4-FFF2-40B4-BE49-F238E27FC236}">
                <a16:creationId xmlns:a16="http://schemas.microsoft.com/office/drawing/2014/main" id="{00000000-0008-0000-0900-0000B6000000}"/>
              </a:ext>
            </a:extLst>
          </xdr:cNvPr>
          <xdr:cNvSpPr txBox="1"/>
        </xdr:nvSpPr>
        <xdr:spPr>
          <a:xfrm>
            <a:off x="10093902" y="4563449"/>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58279</xdr:colOff>
      <xdr:row>6</xdr:row>
      <xdr:rowOff>80768</xdr:rowOff>
    </xdr:from>
    <xdr:to>
      <xdr:col>5</xdr:col>
      <xdr:colOff>363079</xdr:colOff>
      <xdr:row>27</xdr:row>
      <xdr:rowOff>124424</xdr:rowOff>
    </xdr:to>
    <xdr:grpSp>
      <xdr:nvGrpSpPr>
        <xdr:cNvPr id="29741" name="Group 29740">
          <a:extLst>
            <a:ext uri="{FF2B5EF4-FFF2-40B4-BE49-F238E27FC236}">
              <a16:creationId xmlns:a16="http://schemas.microsoft.com/office/drawing/2014/main" id="{00000000-0008-0000-0900-00002D740000}"/>
            </a:ext>
          </a:extLst>
        </xdr:cNvPr>
        <xdr:cNvGrpSpPr/>
      </xdr:nvGrpSpPr>
      <xdr:grpSpPr>
        <a:xfrm>
          <a:off x="744079" y="1280918"/>
          <a:ext cx="3048000" cy="4244181"/>
          <a:chOff x="10190499" y="1283300"/>
          <a:chExt cx="3067050" cy="4294188"/>
        </a:xfrm>
      </xdr:grpSpPr>
      <xdr:sp macro="" textlink="">
        <xdr:nvSpPr>
          <xdr:cNvPr id="188" name="TextBox 187">
            <a:extLst>
              <a:ext uri="{FF2B5EF4-FFF2-40B4-BE49-F238E27FC236}">
                <a16:creationId xmlns:a16="http://schemas.microsoft.com/office/drawing/2014/main" id="{00000000-0008-0000-0900-0000BC000000}"/>
              </a:ext>
            </a:extLst>
          </xdr:cNvPr>
          <xdr:cNvSpPr txBox="1"/>
        </xdr:nvSpPr>
        <xdr:spPr>
          <a:xfrm>
            <a:off x="10190499" y="1283300"/>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46.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could integrate marginalized groups into the labor market?</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Think of maximizing the number of employees in your company by considering... neurodiversity!</a:t>
            </a:r>
            <a:br>
              <a:rPr lang="en-US" sz="1100">
                <a:effectLst/>
                <a:latin typeface="Calibri" panose="020F0502020204030204" pitchFamily="34" charset="0"/>
                <a:ea typeface="Calibri" panose="020F0502020204030204" pitchFamily="34" charset="0"/>
                <a:cs typeface="Arial Narrow" panose="020B0606020202030204" pitchFamily="34" charset="0"/>
              </a:rPr>
            </a:br>
            <a:r>
              <a:rPr lang="en-US" sz="1100">
                <a:effectLst/>
                <a:latin typeface="Calibri" panose="020F0502020204030204" pitchFamily="34" charset="0"/>
                <a:ea typeface="Calibri" panose="020F0502020204030204" pitchFamily="34" charset="0"/>
                <a:cs typeface="Arial Narrow" panose="020B0606020202030204" pitchFamily="34" charset="0"/>
              </a:rPr>
              <a:t>Indeed, neurodiversity can be a huge advantage for companies, yet people on the spectrum have often been marginalized. Now, some firms are specifically seeking them out. One example is Auticon, an award-winnin IT business that employs IT consultants with Asperger‘s syndrome to check code.</a:t>
            </a:r>
            <a:endParaRPr lang="en-US" sz="1100"/>
          </a:p>
        </xdr:txBody>
      </xdr:sp>
      <xdr:sp macro="" textlink="">
        <xdr:nvSpPr>
          <xdr:cNvPr id="189" name="TextBox 188">
            <a:extLst>
              <a:ext uri="{FF2B5EF4-FFF2-40B4-BE49-F238E27FC236}">
                <a16:creationId xmlns:a16="http://schemas.microsoft.com/office/drawing/2014/main" id="{00000000-0008-0000-0900-0000BD000000}"/>
              </a:ext>
            </a:extLst>
          </xdr:cNvPr>
          <xdr:cNvSpPr txBox="1"/>
        </xdr:nvSpPr>
        <xdr:spPr>
          <a:xfrm>
            <a:off x="10190499" y="4184433"/>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190" name="TextBox 189">
            <a:extLst>
              <a:ext uri="{FF2B5EF4-FFF2-40B4-BE49-F238E27FC236}">
                <a16:creationId xmlns:a16="http://schemas.microsoft.com/office/drawing/2014/main" id="{00000000-0008-0000-0900-0000BE000000}"/>
              </a:ext>
            </a:extLst>
          </xdr:cNvPr>
          <xdr:cNvSpPr txBox="1"/>
        </xdr:nvSpPr>
        <xdr:spPr>
          <a:xfrm>
            <a:off x="10190499" y="4503942"/>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50611</xdr:colOff>
      <xdr:row>6</xdr:row>
      <xdr:rowOff>73101</xdr:rowOff>
    </xdr:from>
    <xdr:to>
      <xdr:col>5</xdr:col>
      <xdr:colOff>355411</xdr:colOff>
      <xdr:row>27</xdr:row>
      <xdr:rowOff>116757</xdr:rowOff>
    </xdr:to>
    <xdr:grpSp>
      <xdr:nvGrpSpPr>
        <xdr:cNvPr id="29740" name="Group 29739">
          <a:extLst>
            <a:ext uri="{FF2B5EF4-FFF2-40B4-BE49-F238E27FC236}">
              <a16:creationId xmlns:a16="http://schemas.microsoft.com/office/drawing/2014/main" id="{00000000-0008-0000-0900-00002C740000}"/>
            </a:ext>
          </a:extLst>
        </xdr:cNvPr>
        <xdr:cNvGrpSpPr/>
      </xdr:nvGrpSpPr>
      <xdr:grpSpPr>
        <a:xfrm>
          <a:off x="736411" y="1273251"/>
          <a:ext cx="3048000" cy="4244181"/>
          <a:chOff x="10016143" y="1287538"/>
          <a:chExt cx="3067050" cy="4294188"/>
        </a:xfrm>
      </xdr:grpSpPr>
      <xdr:sp macro="" textlink="">
        <xdr:nvSpPr>
          <xdr:cNvPr id="196" name="TextBox 195">
            <a:extLst>
              <a:ext uri="{FF2B5EF4-FFF2-40B4-BE49-F238E27FC236}">
                <a16:creationId xmlns:a16="http://schemas.microsoft.com/office/drawing/2014/main" id="{00000000-0008-0000-0900-0000C4000000}"/>
              </a:ext>
            </a:extLst>
          </xdr:cNvPr>
          <xdr:cNvSpPr txBox="1"/>
        </xdr:nvSpPr>
        <xdr:spPr>
          <a:xfrm>
            <a:off x="10016143" y="1287538"/>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45.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your market had no assess to schools?</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In 2007, Opportunity International, an international NPO micro-finance institution, launched its Microschools of Opportunity program. It provides loans to teachers who open schools in poor neighborhoods where children, especially girls, would otherwise lack education. Microschools enroll about 200 students. By July 2008, they operated in 50 neighborhoods and towns in Ghana and 9 locations in Malawi. Microschools are now expaning to Asia and other countries in Africa.</a:t>
            </a:r>
            <a:endParaRPr lang="en-US" sz="1100"/>
          </a:p>
        </xdr:txBody>
      </xdr:sp>
      <xdr:sp macro="" textlink="">
        <xdr:nvSpPr>
          <xdr:cNvPr id="197" name="TextBox 196">
            <a:extLst>
              <a:ext uri="{FF2B5EF4-FFF2-40B4-BE49-F238E27FC236}">
                <a16:creationId xmlns:a16="http://schemas.microsoft.com/office/drawing/2014/main" id="{00000000-0008-0000-0900-0000C5000000}"/>
              </a:ext>
            </a:extLst>
          </xdr:cNvPr>
          <xdr:cNvSpPr txBox="1"/>
        </xdr:nvSpPr>
        <xdr:spPr>
          <a:xfrm>
            <a:off x="10016143" y="4188671"/>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198" name="TextBox 197">
            <a:extLst>
              <a:ext uri="{FF2B5EF4-FFF2-40B4-BE49-F238E27FC236}">
                <a16:creationId xmlns:a16="http://schemas.microsoft.com/office/drawing/2014/main" id="{00000000-0008-0000-0900-0000C6000000}"/>
              </a:ext>
            </a:extLst>
          </xdr:cNvPr>
          <xdr:cNvSpPr txBox="1"/>
        </xdr:nvSpPr>
        <xdr:spPr>
          <a:xfrm>
            <a:off x="10016143" y="4508180"/>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54849</xdr:colOff>
      <xdr:row>6</xdr:row>
      <xdr:rowOff>78662</xdr:rowOff>
    </xdr:from>
    <xdr:to>
      <xdr:col>5</xdr:col>
      <xdr:colOff>359649</xdr:colOff>
      <xdr:row>27</xdr:row>
      <xdr:rowOff>122318</xdr:rowOff>
    </xdr:to>
    <xdr:grpSp>
      <xdr:nvGrpSpPr>
        <xdr:cNvPr id="29739" name="Group 29738">
          <a:extLst>
            <a:ext uri="{FF2B5EF4-FFF2-40B4-BE49-F238E27FC236}">
              <a16:creationId xmlns:a16="http://schemas.microsoft.com/office/drawing/2014/main" id="{00000000-0008-0000-0900-00002B740000}"/>
            </a:ext>
          </a:extLst>
        </xdr:cNvPr>
        <xdr:cNvGrpSpPr/>
      </xdr:nvGrpSpPr>
      <xdr:grpSpPr>
        <a:xfrm>
          <a:off x="740649" y="1278812"/>
          <a:ext cx="3048000" cy="4244181"/>
          <a:chOff x="10056100" y="1245475"/>
          <a:chExt cx="3067050" cy="4294188"/>
        </a:xfrm>
      </xdr:grpSpPr>
      <xdr:sp macro="" textlink="">
        <xdr:nvSpPr>
          <xdr:cNvPr id="200" name="TextBox 199">
            <a:extLst>
              <a:ext uri="{FF2B5EF4-FFF2-40B4-BE49-F238E27FC236}">
                <a16:creationId xmlns:a16="http://schemas.microsoft.com/office/drawing/2014/main" id="{00000000-0008-0000-0900-0000C8000000}"/>
              </a:ext>
            </a:extLst>
          </xdr:cNvPr>
          <xdr:cNvSpPr txBox="1"/>
        </xdr:nvSpPr>
        <xdr:spPr>
          <a:xfrm>
            <a:off x="10056100" y="1245475"/>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44.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could access a market with no banking facilities?</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Imagine reaching the most remote areas of the world with no facilities for financial products by using a mobile phone. The company myAGRO sells packages of seeds and fertilizers using a mobile layaway system that allows customers to pay little by little in advance. myAGRO relies heavily on full-time staff (equipped with smartphones) to register customers and mobilize layaway payments through regular mobile phones.</a:t>
            </a:r>
            <a:endParaRPr lang="en-US" sz="1100"/>
          </a:p>
        </xdr:txBody>
      </xdr:sp>
      <xdr:sp macro="" textlink="">
        <xdr:nvSpPr>
          <xdr:cNvPr id="201" name="TextBox 200">
            <a:extLst>
              <a:ext uri="{FF2B5EF4-FFF2-40B4-BE49-F238E27FC236}">
                <a16:creationId xmlns:a16="http://schemas.microsoft.com/office/drawing/2014/main" id="{00000000-0008-0000-0900-0000C9000000}"/>
              </a:ext>
            </a:extLst>
          </xdr:cNvPr>
          <xdr:cNvSpPr txBox="1"/>
        </xdr:nvSpPr>
        <xdr:spPr>
          <a:xfrm>
            <a:off x="10056100" y="4146608"/>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202" name="TextBox 201">
            <a:extLst>
              <a:ext uri="{FF2B5EF4-FFF2-40B4-BE49-F238E27FC236}">
                <a16:creationId xmlns:a16="http://schemas.microsoft.com/office/drawing/2014/main" id="{00000000-0008-0000-0900-0000CA000000}"/>
              </a:ext>
            </a:extLst>
          </xdr:cNvPr>
          <xdr:cNvSpPr txBox="1"/>
        </xdr:nvSpPr>
        <xdr:spPr>
          <a:xfrm>
            <a:off x="10056100" y="4466117"/>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48505</xdr:colOff>
      <xdr:row>6</xdr:row>
      <xdr:rowOff>70994</xdr:rowOff>
    </xdr:from>
    <xdr:to>
      <xdr:col>5</xdr:col>
      <xdr:colOff>353305</xdr:colOff>
      <xdr:row>27</xdr:row>
      <xdr:rowOff>114650</xdr:rowOff>
    </xdr:to>
    <xdr:grpSp>
      <xdr:nvGrpSpPr>
        <xdr:cNvPr id="29738" name="Group 29737">
          <a:extLst>
            <a:ext uri="{FF2B5EF4-FFF2-40B4-BE49-F238E27FC236}">
              <a16:creationId xmlns:a16="http://schemas.microsoft.com/office/drawing/2014/main" id="{00000000-0008-0000-0900-00002A740000}"/>
            </a:ext>
          </a:extLst>
        </xdr:cNvPr>
        <xdr:cNvGrpSpPr/>
      </xdr:nvGrpSpPr>
      <xdr:grpSpPr>
        <a:xfrm>
          <a:off x="734305" y="1271144"/>
          <a:ext cx="3048000" cy="4244181"/>
          <a:chOff x="10109286" y="1297338"/>
          <a:chExt cx="3067050" cy="4294188"/>
        </a:xfrm>
      </xdr:grpSpPr>
      <xdr:sp macro="" textlink="">
        <xdr:nvSpPr>
          <xdr:cNvPr id="208" name="TextBox 207">
            <a:extLst>
              <a:ext uri="{FF2B5EF4-FFF2-40B4-BE49-F238E27FC236}">
                <a16:creationId xmlns:a16="http://schemas.microsoft.com/office/drawing/2014/main" id="{00000000-0008-0000-0900-0000D0000000}"/>
              </a:ext>
            </a:extLst>
          </xdr:cNvPr>
          <xdr:cNvSpPr txBox="1"/>
        </xdr:nvSpPr>
        <xdr:spPr>
          <a:xfrm>
            <a:off x="10109286" y="1297338"/>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43.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your customers had no fixed address?</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Imagine that you could not use fixed and known addresses to reach your customers. E.g., MSF had to deliver aid in Lubumbashi, a city in the Democratic Republic of Congo that is home to 1.5 million residents and where adresses were not available. The solution was to partner with the American and British Red Cross, and the Humanitarian OpenStreetMap Team, to create the Missing Maps Project, crowd-sourced mapping that can be done by anyone with a laptop, anywhere.</a:t>
            </a:r>
            <a:endParaRPr lang="en-US" sz="1100"/>
          </a:p>
        </xdr:txBody>
      </xdr:sp>
      <xdr:sp macro="" textlink="">
        <xdr:nvSpPr>
          <xdr:cNvPr id="209" name="TextBox 208">
            <a:extLst>
              <a:ext uri="{FF2B5EF4-FFF2-40B4-BE49-F238E27FC236}">
                <a16:creationId xmlns:a16="http://schemas.microsoft.com/office/drawing/2014/main" id="{00000000-0008-0000-0900-0000D1000000}"/>
              </a:ext>
            </a:extLst>
          </xdr:cNvPr>
          <xdr:cNvSpPr txBox="1"/>
        </xdr:nvSpPr>
        <xdr:spPr>
          <a:xfrm>
            <a:off x="10109286" y="4198471"/>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210" name="TextBox 209">
            <a:extLst>
              <a:ext uri="{FF2B5EF4-FFF2-40B4-BE49-F238E27FC236}">
                <a16:creationId xmlns:a16="http://schemas.microsoft.com/office/drawing/2014/main" id="{00000000-0008-0000-0900-0000D2000000}"/>
              </a:ext>
            </a:extLst>
          </xdr:cNvPr>
          <xdr:cNvSpPr txBox="1"/>
        </xdr:nvSpPr>
        <xdr:spPr>
          <a:xfrm>
            <a:off x="10109286" y="4517980"/>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52744</xdr:colOff>
      <xdr:row>6</xdr:row>
      <xdr:rowOff>76555</xdr:rowOff>
    </xdr:from>
    <xdr:to>
      <xdr:col>5</xdr:col>
      <xdr:colOff>357544</xdr:colOff>
      <xdr:row>27</xdr:row>
      <xdr:rowOff>120211</xdr:rowOff>
    </xdr:to>
    <xdr:grpSp>
      <xdr:nvGrpSpPr>
        <xdr:cNvPr id="29737" name="Group 29736">
          <a:extLst>
            <a:ext uri="{FF2B5EF4-FFF2-40B4-BE49-F238E27FC236}">
              <a16:creationId xmlns:a16="http://schemas.microsoft.com/office/drawing/2014/main" id="{00000000-0008-0000-0900-000029740000}"/>
            </a:ext>
          </a:extLst>
        </xdr:cNvPr>
        <xdr:cNvGrpSpPr/>
      </xdr:nvGrpSpPr>
      <xdr:grpSpPr>
        <a:xfrm>
          <a:off x="738544" y="1276705"/>
          <a:ext cx="3048000" cy="4244181"/>
          <a:chOff x="10113525" y="1517211"/>
          <a:chExt cx="3067050" cy="4294188"/>
        </a:xfrm>
      </xdr:grpSpPr>
      <xdr:sp macro="" textlink="">
        <xdr:nvSpPr>
          <xdr:cNvPr id="216" name="TextBox 215">
            <a:extLst>
              <a:ext uri="{FF2B5EF4-FFF2-40B4-BE49-F238E27FC236}">
                <a16:creationId xmlns:a16="http://schemas.microsoft.com/office/drawing/2014/main" id="{00000000-0008-0000-0900-0000D8000000}"/>
              </a:ext>
            </a:extLst>
          </xdr:cNvPr>
          <xdr:cNvSpPr txBox="1"/>
        </xdr:nvSpPr>
        <xdr:spPr>
          <a:xfrm>
            <a:off x="10113525" y="1517211"/>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42.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your customers had no bank account?</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Imagine if your revenue streams could not be realized via ordinary bank accounts. BIMA, an insurance company has partnered with Tigo Honduras, the largest mobile operator in the country to supply groundbreaking micro-insurance products that are tailored to Tigo subscribers, are mobile-delivered and are paid through mobile money..</a:t>
            </a:r>
            <a:endParaRPr lang="en-US" sz="1100"/>
          </a:p>
        </xdr:txBody>
      </xdr:sp>
      <xdr:sp macro="" textlink="">
        <xdr:nvSpPr>
          <xdr:cNvPr id="217" name="TextBox 216">
            <a:extLst>
              <a:ext uri="{FF2B5EF4-FFF2-40B4-BE49-F238E27FC236}">
                <a16:creationId xmlns:a16="http://schemas.microsoft.com/office/drawing/2014/main" id="{00000000-0008-0000-0900-0000D9000000}"/>
              </a:ext>
            </a:extLst>
          </xdr:cNvPr>
          <xdr:cNvSpPr txBox="1"/>
        </xdr:nvSpPr>
        <xdr:spPr>
          <a:xfrm>
            <a:off x="10113525" y="4418344"/>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218" name="TextBox 217">
            <a:extLst>
              <a:ext uri="{FF2B5EF4-FFF2-40B4-BE49-F238E27FC236}">
                <a16:creationId xmlns:a16="http://schemas.microsoft.com/office/drawing/2014/main" id="{00000000-0008-0000-0900-0000DA000000}"/>
              </a:ext>
            </a:extLst>
          </xdr:cNvPr>
          <xdr:cNvSpPr txBox="1"/>
        </xdr:nvSpPr>
        <xdr:spPr>
          <a:xfrm>
            <a:off x="10113525" y="4737853"/>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56980</xdr:colOff>
      <xdr:row>6</xdr:row>
      <xdr:rowOff>80794</xdr:rowOff>
    </xdr:from>
    <xdr:to>
      <xdr:col>5</xdr:col>
      <xdr:colOff>361780</xdr:colOff>
      <xdr:row>27</xdr:row>
      <xdr:rowOff>124450</xdr:rowOff>
    </xdr:to>
    <xdr:grpSp>
      <xdr:nvGrpSpPr>
        <xdr:cNvPr id="29736" name="Group 29735">
          <a:extLst>
            <a:ext uri="{FF2B5EF4-FFF2-40B4-BE49-F238E27FC236}">
              <a16:creationId xmlns:a16="http://schemas.microsoft.com/office/drawing/2014/main" id="{00000000-0008-0000-0900-000028740000}"/>
            </a:ext>
          </a:extLst>
        </xdr:cNvPr>
        <xdr:cNvGrpSpPr/>
      </xdr:nvGrpSpPr>
      <xdr:grpSpPr>
        <a:xfrm>
          <a:off x="742780" y="1280944"/>
          <a:ext cx="3048000" cy="4244181"/>
          <a:chOff x="10022512" y="1592887"/>
          <a:chExt cx="3067050" cy="4294188"/>
        </a:xfrm>
      </xdr:grpSpPr>
      <xdr:sp macro="" textlink="">
        <xdr:nvSpPr>
          <xdr:cNvPr id="220" name="TextBox 219">
            <a:extLst>
              <a:ext uri="{FF2B5EF4-FFF2-40B4-BE49-F238E27FC236}">
                <a16:creationId xmlns:a16="http://schemas.microsoft.com/office/drawing/2014/main" id="{00000000-0008-0000-0900-0000DC000000}"/>
              </a:ext>
            </a:extLst>
          </xdr:cNvPr>
          <xdr:cNvSpPr txBox="1"/>
        </xdr:nvSpPr>
        <xdr:spPr>
          <a:xfrm>
            <a:off x="10022512" y="1592887"/>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41.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could piggyback on existing networks to offer something new?</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Imagine if you did not need to invest in infrastructure to supply your new products. ColaLife is piggybacking on Coca-Cola‘s distribution system to bring life-saving medicine to the places, like Zambia, that need it most..</a:t>
            </a:r>
            <a:endParaRPr lang="en-US" sz="1100"/>
          </a:p>
        </xdr:txBody>
      </xdr:sp>
      <xdr:sp macro="" textlink="">
        <xdr:nvSpPr>
          <xdr:cNvPr id="221" name="TextBox 220">
            <a:extLst>
              <a:ext uri="{FF2B5EF4-FFF2-40B4-BE49-F238E27FC236}">
                <a16:creationId xmlns:a16="http://schemas.microsoft.com/office/drawing/2014/main" id="{00000000-0008-0000-0900-0000DD000000}"/>
              </a:ext>
            </a:extLst>
          </xdr:cNvPr>
          <xdr:cNvSpPr txBox="1"/>
        </xdr:nvSpPr>
        <xdr:spPr>
          <a:xfrm>
            <a:off x="10022512" y="4494020"/>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222" name="TextBox 221">
            <a:extLst>
              <a:ext uri="{FF2B5EF4-FFF2-40B4-BE49-F238E27FC236}">
                <a16:creationId xmlns:a16="http://schemas.microsoft.com/office/drawing/2014/main" id="{00000000-0008-0000-0900-0000DE000000}"/>
              </a:ext>
            </a:extLst>
          </xdr:cNvPr>
          <xdr:cNvSpPr txBox="1"/>
        </xdr:nvSpPr>
        <xdr:spPr>
          <a:xfrm>
            <a:off x="10022512" y="4813529"/>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49312</xdr:colOff>
      <xdr:row>6</xdr:row>
      <xdr:rowOff>74450</xdr:rowOff>
    </xdr:from>
    <xdr:to>
      <xdr:col>5</xdr:col>
      <xdr:colOff>354112</xdr:colOff>
      <xdr:row>27</xdr:row>
      <xdr:rowOff>118106</xdr:rowOff>
    </xdr:to>
    <xdr:grpSp>
      <xdr:nvGrpSpPr>
        <xdr:cNvPr id="29735" name="Group 29734">
          <a:extLst>
            <a:ext uri="{FF2B5EF4-FFF2-40B4-BE49-F238E27FC236}">
              <a16:creationId xmlns:a16="http://schemas.microsoft.com/office/drawing/2014/main" id="{00000000-0008-0000-0900-000027740000}"/>
            </a:ext>
          </a:extLst>
        </xdr:cNvPr>
        <xdr:cNvGrpSpPr/>
      </xdr:nvGrpSpPr>
      <xdr:grpSpPr>
        <a:xfrm>
          <a:off x="735112" y="1274600"/>
          <a:ext cx="3048000" cy="4244181"/>
          <a:chOff x="10002937" y="1872292"/>
          <a:chExt cx="3067050" cy="4294188"/>
        </a:xfrm>
      </xdr:grpSpPr>
      <xdr:sp macro="" textlink="">
        <xdr:nvSpPr>
          <xdr:cNvPr id="224" name="TextBox 223">
            <a:extLst>
              <a:ext uri="{FF2B5EF4-FFF2-40B4-BE49-F238E27FC236}">
                <a16:creationId xmlns:a16="http://schemas.microsoft.com/office/drawing/2014/main" id="{00000000-0008-0000-0900-0000E0000000}"/>
              </a:ext>
            </a:extLst>
          </xdr:cNvPr>
          <xdr:cNvSpPr txBox="1"/>
        </xdr:nvSpPr>
        <xdr:spPr>
          <a:xfrm>
            <a:off x="10002937" y="1872292"/>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40.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your customers did not have assess to electricity?</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Electricity is just one way to bring people light, but it‘s not the only one. E.g., GravityLight‘s innovative lighting device is bringing clean, safe, affordable light to families without electricity. Shell is collaborating with this unique start-up to help change lives in Kenya and around the world.</a:t>
            </a:r>
            <a:endParaRPr lang="en-US" sz="1100"/>
          </a:p>
        </xdr:txBody>
      </xdr:sp>
      <xdr:sp macro="" textlink="">
        <xdr:nvSpPr>
          <xdr:cNvPr id="225" name="TextBox 224">
            <a:extLst>
              <a:ext uri="{FF2B5EF4-FFF2-40B4-BE49-F238E27FC236}">
                <a16:creationId xmlns:a16="http://schemas.microsoft.com/office/drawing/2014/main" id="{00000000-0008-0000-0900-0000E1000000}"/>
              </a:ext>
            </a:extLst>
          </xdr:cNvPr>
          <xdr:cNvSpPr txBox="1"/>
        </xdr:nvSpPr>
        <xdr:spPr>
          <a:xfrm>
            <a:off x="10002937" y="4773425"/>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226" name="TextBox 225">
            <a:extLst>
              <a:ext uri="{FF2B5EF4-FFF2-40B4-BE49-F238E27FC236}">
                <a16:creationId xmlns:a16="http://schemas.microsoft.com/office/drawing/2014/main" id="{00000000-0008-0000-0900-0000E2000000}"/>
              </a:ext>
            </a:extLst>
          </xdr:cNvPr>
          <xdr:cNvSpPr txBox="1"/>
        </xdr:nvSpPr>
        <xdr:spPr>
          <a:xfrm>
            <a:off x="10002937" y="5092934"/>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65456</xdr:colOff>
      <xdr:row>6</xdr:row>
      <xdr:rowOff>78687</xdr:rowOff>
    </xdr:from>
    <xdr:to>
      <xdr:col>5</xdr:col>
      <xdr:colOff>370256</xdr:colOff>
      <xdr:row>27</xdr:row>
      <xdr:rowOff>122343</xdr:rowOff>
    </xdr:to>
    <xdr:grpSp>
      <xdr:nvGrpSpPr>
        <xdr:cNvPr id="29734" name="Group 29733">
          <a:extLst>
            <a:ext uri="{FF2B5EF4-FFF2-40B4-BE49-F238E27FC236}">
              <a16:creationId xmlns:a16="http://schemas.microsoft.com/office/drawing/2014/main" id="{00000000-0008-0000-0900-000026740000}"/>
            </a:ext>
          </a:extLst>
        </xdr:cNvPr>
        <xdr:cNvGrpSpPr/>
      </xdr:nvGrpSpPr>
      <xdr:grpSpPr>
        <a:xfrm>
          <a:off x="751256" y="1278837"/>
          <a:ext cx="3048000" cy="4244181"/>
          <a:chOff x="10042894" y="1400280"/>
          <a:chExt cx="3067050" cy="4294188"/>
        </a:xfrm>
      </xdr:grpSpPr>
      <xdr:sp macro="" textlink="">
        <xdr:nvSpPr>
          <xdr:cNvPr id="232" name="TextBox 231">
            <a:extLst>
              <a:ext uri="{FF2B5EF4-FFF2-40B4-BE49-F238E27FC236}">
                <a16:creationId xmlns:a16="http://schemas.microsoft.com/office/drawing/2014/main" id="{00000000-0008-0000-0900-0000E8000000}"/>
              </a:ext>
            </a:extLst>
          </xdr:cNvPr>
          <xdr:cNvSpPr txBox="1"/>
        </xdr:nvSpPr>
        <xdr:spPr>
          <a:xfrm>
            <a:off x="10042894" y="1400280"/>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39.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your customers could not read?</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14% of the world‘s population is still illiterate, and only 20% speaks English. Keeping that in mind, Mercedes-Benz and Thai Health Foundation have created the ‚Universal Language of Pain`, transcending the borders of language and helping doctors identify pain and diagnose every known illness without using verbal language. Each pain symbol is designed based on instinctive shapes and forms that are instantly relatable to everyone.</a:t>
            </a:r>
            <a:endParaRPr lang="en-US" sz="1100"/>
          </a:p>
        </xdr:txBody>
      </xdr:sp>
      <xdr:sp macro="" textlink="">
        <xdr:nvSpPr>
          <xdr:cNvPr id="233" name="TextBox 232">
            <a:extLst>
              <a:ext uri="{FF2B5EF4-FFF2-40B4-BE49-F238E27FC236}">
                <a16:creationId xmlns:a16="http://schemas.microsoft.com/office/drawing/2014/main" id="{00000000-0008-0000-0900-0000E9000000}"/>
              </a:ext>
            </a:extLst>
          </xdr:cNvPr>
          <xdr:cNvSpPr txBox="1"/>
        </xdr:nvSpPr>
        <xdr:spPr>
          <a:xfrm>
            <a:off x="10042894" y="4301413"/>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234" name="TextBox 233">
            <a:extLst>
              <a:ext uri="{FF2B5EF4-FFF2-40B4-BE49-F238E27FC236}">
                <a16:creationId xmlns:a16="http://schemas.microsoft.com/office/drawing/2014/main" id="{00000000-0008-0000-0900-0000EA000000}"/>
              </a:ext>
            </a:extLst>
          </xdr:cNvPr>
          <xdr:cNvSpPr txBox="1"/>
        </xdr:nvSpPr>
        <xdr:spPr>
          <a:xfrm>
            <a:off x="10042894" y="4620922"/>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53550</xdr:colOff>
      <xdr:row>6</xdr:row>
      <xdr:rowOff>90594</xdr:rowOff>
    </xdr:from>
    <xdr:to>
      <xdr:col>5</xdr:col>
      <xdr:colOff>358350</xdr:colOff>
      <xdr:row>27</xdr:row>
      <xdr:rowOff>134250</xdr:rowOff>
    </xdr:to>
    <xdr:grpSp>
      <xdr:nvGrpSpPr>
        <xdr:cNvPr id="29733" name="Group 29732">
          <a:extLst>
            <a:ext uri="{FF2B5EF4-FFF2-40B4-BE49-F238E27FC236}">
              <a16:creationId xmlns:a16="http://schemas.microsoft.com/office/drawing/2014/main" id="{00000000-0008-0000-0900-000025740000}"/>
            </a:ext>
          </a:extLst>
        </xdr:cNvPr>
        <xdr:cNvGrpSpPr/>
      </xdr:nvGrpSpPr>
      <xdr:grpSpPr>
        <a:xfrm>
          <a:off x="739350" y="1290744"/>
          <a:ext cx="3048000" cy="4244181"/>
          <a:chOff x="10269113" y="1650312"/>
          <a:chExt cx="3067050" cy="4294188"/>
        </a:xfrm>
      </xdr:grpSpPr>
      <xdr:sp macro="" textlink="">
        <xdr:nvSpPr>
          <xdr:cNvPr id="236" name="TextBox 235">
            <a:extLst>
              <a:ext uri="{FF2B5EF4-FFF2-40B4-BE49-F238E27FC236}">
                <a16:creationId xmlns:a16="http://schemas.microsoft.com/office/drawing/2014/main" id="{00000000-0008-0000-0900-0000EC000000}"/>
              </a:ext>
            </a:extLst>
          </xdr:cNvPr>
          <xdr:cNvSpPr txBox="1"/>
        </xdr:nvSpPr>
        <xdr:spPr>
          <a:xfrm>
            <a:off x="10269113" y="1650312"/>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38.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your production didn‘t depend on weather conditions?</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Imagine a world where severe and harsh weather conditions could not hinder your product‘s availability. CCAFS is working to develop weatther index-based insurance schemes to help secure farmers‘ livelihoods and give them the capacity to invest in climate-smart technologies, thereby helping to secure the world‘s food supply.</a:t>
            </a:r>
            <a:endParaRPr lang="en-US" sz="1100"/>
          </a:p>
        </xdr:txBody>
      </xdr:sp>
      <xdr:sp macro="" textlink="">
        <xdr:nvSpPr>
          <xdr:cNvPr id="237" name="TextBox 236">
            <a:extLst>
              <a:ext uri="{FF2B5EF4-FFF2-40B4-BE49-F238E27FC236}">
                <a16:creationId xmlns:a16="http://schemas.microsoft.com/office/drawing/2014/main" id="{00000000-0008-0000-0900-0000ED000000}"/>
              </a:ext>
            </a:extLst>
          </xdr:cNvPr>
          <xdr:cNvSpPr txBox="1"/>
        </xdr:nvSpPr>
        <xdr:spPr>
          <a:xfrm>
            <a:off x="10269113" y="4551445"/>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238" name="TextBox 237">
            <a:extLst>
              <a:ext uri="{FF2B5EF4-FFF2-40B4-BE49-F238E27FC236}">
                <a16:creationId xmlns:a16="http://schemas.microsoft.com/office/drawing/2014/main" id="{00000000-0008-0000-0900-0000EE000000}"/>
              </a:ext>
            </a:extLst>
          </xdr:cNvPr>
          <xdr:cNvSpPr txBox="1"/>
        </xdr:nvSpPr>
        <xdr:spPr>
          <a:xfrm>
            <a:off x="10269113" y="4870954"/>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53551</xdr:colOff>
      <xdr:row>6</xdr:row>
      <xdr:rowOff>78685</xdr:rowOff>
    </xdr:from>
    <xdr:to>
      <xdr:col>5</xdr:col>
      <xdr:colOff>358351</xdr:colOff>
      <xdr:row>27</xdr:row>
      <xdr:rowOff>122341</xdr:rowOff>
    </xdr:to>
    <xdr:grpSp>
      <xdr:nvGrpSpPr>
        <xdr:cNvPr id="29759" name="Group 29758">
          <a:extLst>
            <a:ext uri="{FF2B5EF4-FFF2-40B4-BE49-F238E27FC236}">
              <a16:creationId xmlns:a16="http://schemas.microsoft.com/office/drawing/2014/main" id="{00000000-0008-0000-0900-00003F740000}"/>
            </a:ext>
          </a:extLst>
        </xdr:cNvPr>
        <xdr:cNvGrpSpPr/>
      </xdr:nvGrpSpPr>
      <xdr:grpSpPr>
        <a:xfrm>
          <a:off x="739351" y="1278835"/>
          <a:ext cx="3048000" cy="4244181"/>
          <a:chOff x="10042896" y="3864873"/>
          <a:chExt cx="3067050" cy="4294188"/>
        </a:xfrm>
      </xdr:grpSpPr>
      <xdr:sp macro="" textlink="">
        <xdr:nvSpPr>
          <xdr:cNvPr id="244" name="TextBox 243">
            <a:extLst>
              <a:ext uri="{FF2B5EF4-FFF2-40B4-BE49-F238E27FC236}">
                <a16:creationId xmlns:a16="http://schemas.microsoft.com/office/drawing/2014/main" id="{00000000-0008-0000-0900-0000F4000000}"/>
              </a:ext>
            </a:extLst>
          </xdr:cNvPr>
          <xdr:cNvSpPr txBox="1"/>
        </xdr:nvSpPr>
        <xdr:spPr>
          <a:xfrm>
            <a:off x="10042896" y="3864873"/>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37.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could ship to where no transport infrastructure is porvided?</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Imagine shipping to a very isolated area of the world inaccessible by any land-base mode of transportation. Zipline operates the world‘s only drone delivery system at national scale to send urgent medicines, such as blood and vaccines, to those in need - no matter where they live.</a:t>
            </a:r>
            <a:endParaRPr lang="en-US" sz="1100"/>
          </a:p>
        </xdr:txBody>
      </xdr:sp>
      <xdr:sp macro="" textlink="">
        <xdr:nvSpPr>
          <xdr:cNvPr id="245" name="TextBox 244">
            <a:extLst>
              <a:ext uri="{FF2B5EF4-FFF2-40B4-BE49-F238E27FC236}">
                <a16:creationId xmlns:a16="http://schemas.microsoft.com/office/drawing/2014/main" id="{00000000-0008-0000-0900-0000F5000000}"/>
              </a:ext>
            </a:extLst>
          </xdr:cNvPr>
          <xdr:cNvSpPr txBox="1"/>
        </xdr:nvSpPr>
        <xdr:spPr>
          <a:xfrm>
            <a:off x="10042896" y="6766006"/>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246" name="TextBox 245">
            <a:extLst>
              <a:ext uri="{FF2B5EF4-FFF2-40B4-BE49-F238E27FC236}">
                <a16:creationId xmlns:a16="http://schemas.microsoft.com/office/drawing/2014/main" id="{00000000-0008-0000-0900-0000F6000000}"/>
              </a:ext>
            </a:extLst>
          </xdr:cNvPr>
          <xdr:cNvSpPr txBox="1"/>
        </xdr:nvSpPr>
        <xdr:spPr>
          <a:xfrm>
            <a:off x="10042896" y="7085515"/>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57789</xdr:colOff>
      <xdr:row>6</xdr:row>
      <xdr:rowOff>82923</xdr:rowOff>
    </xdr:from>
    <xdr:to>
      <xdr:col>5</xdr:col>
      <xdr:colOff>362589</xdr:colOff>
      <xdr:row>27</xdr:row>
      <xdr:rowOff>126579</xdr:rowOff>
    </xdr:to>
    <xdr:grpSp>
      <xdr:nvGrpSpPr>
        <xdr:cNvPr id="29732" name="Group 29731">
          <a:extLst>
            <a:ext uri="{FF2B5EF4-FFF2-40B4-BE49-F238E27FC236}">
              <a16:creationId xmlns:a16="http://schemas.microsoft.com/office/drawing/2014/main" id="{00000000-0008-0000-0900-000024740000}"/>
            </a:ext>
          </a:extLst>
        </xdr:cNvPr>
        <xdr:cNvGrpSpPr/>
      </xdr:nvGrpSpPr>
      <xdr:grpSpPr>
        <a:xfrm>
          <a:off x="743589" y="1283073"/>
          <a:ext cx="3048000" cy="4244181"/>
          <a:chOff x="9737570" y="1630736"/>
          <a:chExt cx="3067050" cy="4294188"/>
        </a:xfrm>
      </xdr:grpSpPr>
      <xdr:sp macro="" textlink="">
        <xdr:nvSpPr>
          <xdr:cNvPr id="252" name="TextBox 251">
            <a:extLst>
              <a:ext uri="{FF2B5EF4-FFF2-40B4-BE49-F238E27FC236}">
                <a16:creationId xmlns:a16="http://schemas.microsoft.com/office/drawing/2014/main" id="{00000000-0008-0000-0900-0000FC000000}"/>
              </a:ext>
            </a:extLst>
          </xdr:cNvPr>
          <xdr:cNvSpPr txBox="1"/>
        </xdr:nvSpPr>
        <xdr:spPr>
          <a:xfrm>
            <a:off x="9737570" y="1630736"/>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36.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the only driver to buy was sustainability?</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Imagine that each additional kg of CO2 produced by your company makes you lose a customer. Think of products and services that have zero (or positive) impact on the planet. For example, Nike‘s Logistic Campus in Belgium is not only self-sufficient but also supplies energy for 1,500 additional households.</a:t>
            </a:r>
            <a:endParaRPr lang="en-US" sz="1100"/>
          </a:p>
        </xdr:txBody>
      </xdr:sp>
      <xdr:sp macro="" textlink="">
        <xdr:nvSpPr>
          <xdr:cNvPr id="253" name="TextBox 252">
            <a:extLst>
              <a:ext uri="{FF2B5EF4-FFF2-40B4-BE49-F238E27FC236}">
                <a16:creationId xmlns:a16="http://schemas.microsoft.com/office/drawing/2014/main" id="{00000000-0008-0000-0900-0000FD000000}"/>
              </a:ext>
            </a:extLst>
          </xdr:cNvPr>
          <xdr:cNvSpPr txBox="1"/>
        </xdr:nvSpPr>
        <xdr:spPr>
          <a:xfrm>
            <a:off x="9737570" y="4531869"/>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254" name="TextBox 253">
            <a:extLst>
              <a:ext uri="{FF2B5EF4-FFF2-40B4-BE49-F238E27FC236}">
                <a16:creationId xmlns:a16="http://schemas.microsoft.com/office/drawing/2014/main" id="{00000000-0008-0000-0900-0000FE000000}"/>
              </a:ext>
            </a:extLst>
          </xdr:cNvPr>
          <xdr:cNvSpPr txBox="1"/>
        </xdr:nvSpPr>
        <xdr:spPr>
          <a:xfrm>
            <a:off x="9737570" y="4851378"/>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51444</xdr:colOff>
      <xdr:row>6</xdr:row>
      <xdr:rowOff>76579</xdr:rowOff>
    </xdr:from>
    <xdr:to>
      <xdr:col>5</xdr:col>
      <xdr:colOff>356244</xdr:colOff>
      <xdr:row>27</xdr:row>
      <xdr:rowOff>120235</xdr:rowOff>
    </xdr:to>
    <xdr:grpSp>
      <xdr:nvGrpSpPr>
        <xdr:cNvPr id="29731" name="Group 29730">
          <a:extLst>
            <a:ext uri="{FF2B5EF4-FFF2-40B4-BE49-F238E27FC236}">
              <a16:creationId xmlns:a16="http://schemas.microsoft.com/office/drawing/2014/main" id="{00000000-0008-0000-0900-000023740000}"/>
            </a:ext>
          </a:extLst>
        </xdr:cNvPr>
        <xdr:cNvGrpSpPr/>
      </xdr:nvGrpSpPr>
      <xdr:grpSpPr>
        <a:xfrm>
          <a:off x="737244" y="1276729"/>
          <a:ext cx="3048000" cy="4244181"/>
          <a:chOff x="9981256" y="1779173"/>
          <a:chExt cx="3067050" cy="4294188"/>
        </a:xfrm>
      </xdr:grpSpPr>
      <xdr:sp macro="" textlink="">
        <xdr:nvSpPr>
          <xdr:cNvPr id="256" name="TextBox 255">
            <a:extLst>
              <a:ext uri="{FF2B5EF4-FFF2-40B4-BE49-F238E27FC236}">
                <a16:creationId xmlns:a16="http://schemas.microsoft.com/office/drawing/2014/main" id="{00000000-0008-0000-0900-000000010000}"/>
              </a:ext>
            </a:extLst>
          </xdr:cNvPr>
          <xdr:cNvSpPr txBox="1"/>
        </xdr:nvSpPr>
        <xdr:spPr>
          <a:xfrm>
            <a:off x="9981256" y="1779173"/>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35.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your customers demanded that everything be made locally?</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Imagine customers would only buy from you if you could prove that your product was created within 100 miles of the store. Instead of providing a centralized service, 3D Hubs, a platform of 3D printing, outsources production to people with 3D printers at home.</a:t>
            </a:r>
            <a:endParaRPr lang="en-US" sz="1100"/>
          </a:p>
        </xdr:txBody>
      </xdr:sp>
      <xdr:sp macro="" textlink="">
        <xdr:nvSpPr>
          <xdr:cNvPr id="257" name="TextBox 256">
            <a:extLst>
              <a:ext uri="{FF2B5EF4-FFF2-40B4-BE49-F238E27FC236}">
                <a16:creationId xmlns:a16="http://schemas.microsoft.com/office/drawing/2014/main" id="{00000000-0008-0000-0900-000001010000}"/>
              </a:ext>
            </a:extLst>
          </xdr:cNvPr>
          <xdr:cNvSpPr txBox="1"/>
        </xdr:nvSpPr>
        <xdr:spPr>
          <a:xfrm>
            <a:off x="9981256" y="4680306"/>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258" name="TextBox 257">
            <a:extLst>
              <a:ext uri="{FF2B5EF4-FFF2-40B4-BE49-F238E27FC236}">
                <a16:creationId xmlns:a16="http://schemas.microsoft.com/office/drawing/2014/main" id="{00000000-0008-0000-0900-000002010000}"/>
              </a:ext>
            </a:extLst>
          </xdr:cNvPr>
          <xdr:cNvSpPr txBox="1"/>
        </xdr:nvSpPr>
        <xdr:spPr>
          <a:xfrm>
            <a:off x="9981256" y="4999815"/>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57004</xdr:colOff>
      <xdr:row>6</xdr:row>
      <xdr:rowOff>68912</xdr:rowOff>
    </xdr:from>
    <xdr:to>
      <xdr:col>5</xdr:col>
      <xdr:colOff>361804</xdr:colOff>
      <xdr:row>27</xdr:row>
      <xdr:rowOff>112568</xdr:rowOff>
    </xdr:to>
    <xdr:grpSp>
      <xdr:nvGrpSpPr>
        <xdr:cNvPr id="29730" name="Group 29729">
          <a:extLst>
            <a:ext uri="{FF2B5EF4-FFF2-40B4-BE49-F238E27FC236}">
              <a16:creationId xmlns:a16="http://schemas.microsoft.com/office/drawing/2014/main" id="{00000000-0008-0000-0900-000022740000}"/>
            </a:ext>
          </a:extLst>
        </xdr:cNvPr>
        <xdr:cNvGrpSpPr/>
      </xdr:nvGrpSpPr>
      <xdr:grpSpPr>
        <a:xfrm>
          <a:off x="742804" y="1269062"/>
          <a:ext cx="3048000" cy="4244181"/>
          <a:chOff x="10022536" y="1652443"/>
          <a:chExt cx="3067050" cy="4294188"/>
        </a:xfrm>
      </xdr:grpSpPr>
      <xdr:sp macro="" textlink="">
        <xdr:nvSpPr>
          <xdr:cNvPr id="260" name="TextBox 259">
            <a:extLst>
              <a:ext uri="{FF2B5EF4-FFF2-40B4-BE49-F238E27FC236}">
                <a16:creationId xmlns:a16="http://schemas.microsoft.com/office/drawing/2014/main" id="{00000000-0008-0000-0900-000004010000}"/>
              </a:ext>
            </a:extLst>
          </xdr:cNvPr>
          <xdr:cNvSpPr txBox="1"/>
        </xdr:nvSpPr>
        <xdr:spPr>
          <a:xfrm>
            <a:off x="10022536" y="1652443"/>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34.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leverage radical transparency?</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Everlane is shaking up retail by making sure they are fully aware of the exact cost of their product. Their complete transparency strategy involves sharing both the source of their clothing as well as showing cost breakdowns for each item, ranging from raw material costs to transport fees and labor.</a:t>
            </a:r>
            <a:endParaRPr lang="en-US" sz="1100"/>
          </a:p>
        </xdr:txBody>
      </xdr:sp>
      <xdr:sp macro="" textlink="">
        <xdr:nvSpPr>
          <xdr:cNvPr id="261" name="TextBox 260">
            <a:extLst>
              <a:ext uri="{FF2B5EF4-FFF2-40B4-BE49-F238E27FC236}">
                <a16:creationId xmlns:a16="http://schemas.microsoft.com/office/drawing/2014/main" id="{00000000-0008-0000-0900-000005010000}"/>
              </a:ext>
            </a:extLst>
          </xdr:cNvPr>
          <xdr:cNvSpPr txBox="1"/>
        </xdr:nvSpPr>
        <xdr:spPr>
          <a:xfrm>
            <a:off x="10022536" y="4553576"/>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262" name="TextBox 261">
            <a:extLst>
              <a:ext uri="{FF2B5EF4-FFF2-40B4-BE49-F238E27FC236}">
                <a16:creationId xmlns:a16="http://schemas.microsoft.com/office/drawing/2014/main" id="{00000000-0008-0000-0900-000006010000}"/>
              </a:ext>
            </a:extLst>
          </xdr:cNvPr>
          <xdr:cNvSpPr txBox="1"/>
        </xdr:nvSpPr>
        <xdr:spPr>
          <a:xfrm>
            <a:off x="10022536" y="4873085"/>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57005</xdr:colOff>
      <xdr:row>6</xdr:row>
      <xdr:rowOff>80818</xdr:rowOff>
    </xdr:from>
    <xdr:to>
      <xdr:col>5</xdr:col>
      <xdr:colOff>361805</xdr:colOff>
      <xdr:row>27</xdr:row>
      <xdr:rowOff>124474</xdr:rowOff>
    </xdr:to>
    <xdr:grpSp>
      <xdr:nvGrpSpPr>
        <xdr:cNvPr id="29729" name="Group 29728">
          <a:extLst>
            <a:ext uri="{FF2B5EF4-FFF2-40B4-BE49-F238E27FC236}">
              <a16:creationId xmlns:a16="http://schemas.microsoft.com/office/drawing/2014/main" id="{00000000-0008-0000-0900-000021740000}"/>
            </a:ext>
          </a:extLst>
        </xdr:cNvPr>
        <xdr:cNvGrpSpPr/>
      </xdr:nvGrpSpPr>
      <xdr:grpSpPr>
        <a:xfrm>
          <a:off x="742805" y="1280968"/>
          <a:ext cx="3048000" cy="4244181"/>
          <a:chOff x="10332099" y="1461943"/>
          <a:chExt cx="3067050" cy="4294188"/>
        </a:xfrm>
      </xdr:grpSpPr>
      <xdr:sp macro="" textlink="">
        <xdr:nvSpPr>
          <xdr:cNvPr id="264" name="TextBox 263">
            <a:extLst>
              <a:ext uri="{FF2B5EF4-FFF2-40B4-BE49-F238E27FC236}">
                <a16:creationId xmlns:a16="http://schemas.microsoft.com/office/drawing/2014/main" id="{00000000-0008-0000-0900-000008010000}"/>
              </a:ext>
            </a:extLst>
          </xdr:cNvPr>
          <xdr:cNvSpPr txBox="1"/>
        </xdr:nvSpPr>
        <xdr:spPr>
          <a:xfrm>
            <a:off x="10332099" y="1461943"/>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33.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could help your competitors?</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Think of ways to leverage cooperation: Share know-how, create alliances, or show some generosity. In 2014, Tesla made all their patents public, and in 2018 they published the full blueprint of all their cars. This way, even if their technology becomes the standard, they will always be ahead of the pack.</a:t>
            </a:r>
            <a:endParaRPr lang="en-US" sz="1100"/>
          </a:p>
        </xdr:txBody>
      </xdr:sp>
      <xdr:sp macro="" textlink="">
        <xdr:nvSpPr>
          <xdr:cNvPr id="265" name="TextBox 264">
            <a:extLst>
              <a:ext uri="{FF2B5EF4-FFF2-40B4-BE49-F238E27FC236}">
                <a16:creationId xmlns:a16="http://schemas.microsoft.com/office/drawing/2014/main" id="{00000000-0008-0000-0900-000009010000}"/>
              </a:ext>
            </a:extLst>
          </xdr:cNvPr>
          <xdr:cNvSpPr txBox="1"/>
        </xdr:nvSpPr>
        <xdr:spPr>
          <a:xfrm>
            <a:off x="10332099" y="4363076"/>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266" name="TextBox 265">
            <a:extLst>
              <a:ext uri="{FF2B5EF4-FFF2-40B4-BE49-F238E27FC236}">
                <a16:creationId xmlns:a16="http://schemas.microsoft.com/office/drawing/2014/main" id="{00000000-0008-0000-0900-00000A010000}"/>
              </a:ext>
            </a:extLst>
          </xdr:cNvPr>
          <xdr:cNvSpPr txBox="1"/>
        </xdr:nvSpPr>
        <xdr:spPr>
          <a:xfrm>
            <a:off x="10332099" y="4682585"/>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49336</xdr:colOff>
      <xdr:row>6</xdr:row>
      <xdr:rowOff>73149</xdr:rowOff>
    </xdr:from>
    <xdr:to>
      <xdr:col>5</xdr:col>
      <xdr:colOff>354136</xdr:colOff>
      <xdr:row>27</xdr:row>
      <xdr:rowOff>116805</xdr:rowOff>
    </xdr:to>
    <xdr:grpSp>
      <xdr:nvGrpSpPr>
        <xdr:cNvPr id="29728" name="Group 29727">
          <a:extLst>
            <a:ext uri="{FF2B5EF4-FFF2-40B4-BE49-F238E27FC236}">
              <a16:creationId xmlns:a16="http://schemas.microsoft.com/office/drawing/2014/main" id="{00000000-0008-0000-0900-000020740000}"/>
            </a:ext>
          </a:extLst>
        </xdr:cNvPr>
        <xdr:cNvGrpSpPr/>
      </xdr:nvGrpSpPr>
      <xdr:grpSpPr>
        <a:xfrm>
          <a:off x="735136" y="1273299"/>
          <a:ext cx="3048000" cy="4244181"/>
          <a:chOff x="10538743" y="1549524"/>
          <a:chExt cx="3067050" cy="4294188"/>
        </a:xfrm>
      </xdr:grpSpPr>
      <xdr:sp macro="" textlink="">
        <xdr:nvSpPr>
          <xdr:cNvPr id="268" name="TextBox 267">
            <a:extLst>
              <a:ext uri="{FF2B5EF4-FFF2-40B4-BE49-F238E27FC236}">
                <a16:creationId xmlns:a16="http://schemas.microsoft.com/office/drawing/2014/main" id="{00000000-0008-0000-0900-00000C010000}"/>
              </a:ext>
            </a:extLst>
          </xdr:cNvPr>
          <xdr:cNvSpPr txBox="1"/>
        </xdr:nvSpPr>
        <xdr:spPr>
          <a:xfrm>
            <a:off x="10538743" y="1549524"/>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32.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help your customer save money?</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Consider ways to help customers save money. Blink Health is a service that turns expensive branded prescriptions into generic prescriptions (up to 90% cheaper). They can be purchased online and picked up at a local drug store.</a:t>
            </a:r>
            <a:endParaRPr lang="en-US" sz="1100"/>
          </a:p>
        </xdr:txBody>
      </xdr:sp>
      <xdr:sp macro="" textlink="">
        <xdr:nvSpPr>
          <xdr:cNvPr id="269" name="TextBox 268">
            <a:extLst>
              <a:ext uri="{FF2B5EF4-FFF2-40B4-BE49-F238E27FC236}">
                <a16:creationId xmlns:a16="http://schemas.microsoft.com/office/drawing/2014/main" id="{00000000-0008-0000-0900-00000D010000}"/>
              </a:ext>
            </a:extLst>
          </xdr:cNvPr>
          <xdr:cNvSpPr txBox="1"/>
        </xdr:nvSpPr>
        <xdr:spPr>
          <a:xfrm>
            <a:off x="10538743" y="4450657"/>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270" name="TextBox 269">
            <a:extLst>
              <a:ext uri="{FF2B5EF4-FFF2-40B4-BE49-F238E27FC236}">
                <a16:creationId xmlns:a16="http://schemas.microsoft.com/office/drawing/2014/main" id="{00000000-0008-0000-0900-00000E010000}"/>
              </a:ext>
            </a:extLst>
          </xdr:cNvPr>
          <xdr:cNvSpPr txBox="1"/>
        </xdr:nvSpPr>
        <xdr:spPr>
          <a:xfrm>
            <a:off x="10538743" y="4770166"/>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65481</xdr:colOff>
      <xdr:row>6</xdr:row>
      <xdr:rowOff>66805</xdr:rowOff>
    </xdr:from>
    <xdr:to>
      <xdr:col>5</xdr:col>
      <xdr:colOff>370281</xdr:colOff>
      <xdr:row>27</xdr:row>
      <xdr:rowOff>110461</xdr:rowOff>
    </xdr:to>
    <xdr:grpSp>
      <xdr:nvGrpSpPr>
        <xdr:cNvPr id="29727" name="Group 29726">
          <a:extLst>
            <a:ext uri="{FF2B5EF4-FFF2-40B4-BE49-F238E27FC236}">
              <a16:creationId xmlns:a16="http://schemas.microsoft.com/office/drawing/2014/main" id="{00000000-0008-0000-0900-00001F740000}"/>
            </a:ext>
          </a:extLst>
        </xdr:cNvPr>
        <xdr:cNvGrpSpPr/>
      </xdr:nvGrpSpPr>
      <xdr:grpSpPr>
        <a:xfrm>
          <a:off x="751281" y="1266955"/>
          <a:ext cx="3048000" cy="4244181"/>
          <a:chOff x="10304856" y="1269335"/>
          <a:chExt cx="3067050" cy="4294188"/>
        </a:xfrm>
      </xdr:grpSpPr>
      <xdr:sp macro="" textlink="">
        <xdr:nvSpPr>
          <xdr:cNvPr id="272" name="TextBox 271">
            <a:extLst>
              <a:ext uri="{FF2B5EF4-FFF2-40B4-BE49-F238E27FC236}">
                <a16:creationId xmlns:a16="http://schemas.microsoft.com/office/drawing/2014/main" id="{00000000-0008-0000-0900-000010010000}"/>
              </a:ext>
            </a:extLst>
          </xdr:cNvPr>
          <xdr:cNvSpPr txBox="1"/>
        </xdr:nvSpPr>
        <xdr:spPr>
          <a:xfrm>
            <a:off x="10304856" y="1269335"/>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31.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your service was free for customers?</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Think of ways to earn money without asking users to pay, such as advertising, referral fees, partnerships, and premium models. Spotify‘s music library is entirely accessible for free, based on advertising sales and sponsored by the 30% of paying Spotify Premium users.</a:t>
            </a:r>
            <a:endParaRPr lang="en-US" sz="1100"/>
          </a:p>
        </xdr:txBody>
      </xdr:sp>
      <xdr:sp macro="" textlink="">
        <xdr:nvSpPr>
          <xdr:cNvPr id="273" name="TextBox 272">
            <a:extLst>
              <a:ext uri="{FF2B5EF4-FFF2-40B4-BE49-F238E27FC236}">
                <a16:creationId xmlns:a16="http://schemas.microsoft.com/office/drawing/2014/main" id="{00000000-0008-0000-0900-000011010000}"/>
              </a:ext>
            </a:extLst>
          </xdr:cNvPr>
          <xdr:cNvSpPr txBox="1"/>
        </xdr:nvSpPr>
        <xdr:spPr>
          <a:xfrm>
            <a:off x="10304856" y="4170468"/>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274" name="TextBox 273">
            <a:extLst>
              <a:ext uri="{FF2B5EF4-FFF2-40B4-BE49-F238E27FC236}">
                <a16:creationId xmlns:a16="http://schemas.microsoft.com/office/drawing/2014/main" id="{00000000-0008-0000-0900-000012010000}"/>
              </a:ext>
            </a:extLst>
          </xdr:cNvPr>
          <xdr:cNvSpPr txBox="1"/>
        </xdr:nvSpPr>
        <xdr:spPr>
          <a:xfrm>
            <a:off x="10304856" y="4489977"/>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47229</xdr:colOff>
      <xdr:row>6</xdr:row>
      <xdr:rowOff>71044</xdr:rowOff>
    </xdr:from>
    <xdr:to>
      <xdr:col>5</xdr:col>
      <xdr:colOff>352029</xdr:colOff>
      <xdr:row>27</xdr:row>
      <xdr:rowOff>114700</xdr:rowOff>
    </xdr:to>
    <xdr:grpSp>
      <xdr:nvGrpSpPr>
        <xdr:cNvPr id="29726" name="Group 29725">
          <a:extLst>
            <a:ext uri="{FF2B5EF4-FFF2-40B4-BE49-F238E27FC236}">
              <a16:creationId xmlns:a16="http://schemas.microsoft.com/office/drawing/2014/main" id="{00000000-0008-0000-0900-00001E740000}"/>
            </a:ext>
          </a:extLst>
        </xdr:cNvPr>
        <xdr:cNvGrpSpPr/>
      </xdr:nvGrpSpPr>
      <xdr:grpSpPr>
        <a:xfrm>
          <a:off x="733029" y="1271194"/>
          <a:ext cx="3048000" cy="4244181"/>
          <a:chOff x="9810355" y="1380730"/>
          <a:chExt cx="3067050" cy="4294188"/>
        </a:xfrm>
      </xdr:grpSpPr>
      <xdr:sp macro="" textlink="">
        <xdr:nvSpPr>
          <xdr:cNvPr id="276" name="TextBox 275">
            <a:extLst>
              <a:ext uri="{FF2B5EF4-FFF2-40B4-BE49-F238E27FC236}">
                <a16:creationId xmlns:a16="http://schemas.microsoft.com/office/drawing/2014/main" id="{00000000-0008-0000-0900-000014010000}"/>
              </a:ext>
            </a:extLst>
          </xdr:cNvPr>
          <xdr:cNvSpPr txBox="1"/>
        </xdr:nvSpPr>
        <xdr:spPr>
          <a:xfrm>
            <a:off x="9810355" y="1380730"/>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30.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the public was willing to help you?</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Think of ways to tackle big challenges by using lots of helping hands. Think of crowd-funding/-sourcing/-investing/-lending. Lego Ideas is an ideation platform to crowdsource ideas for new products: everyone can submit, everyone can vote, and the winning ideas gain 1% of net sales.</a:t>
            </a:r>
            <a:endParaRPr lang="en-US" sz="1100"/>
          </a:p>
        </xdr:txBody>
      </xdr:sp>
      <xdr:sp macro="" textlink="">
        <xdr:nvSpPr>
          <xdr:cNvPr id="277" name="TextBox 276">
            <a:extLst>
              <a:ext uri="{FF2B5EF4-FFF2-40B4-BE49-F238E27FC236}">
                <a16:creationId xmlns:a16="http://schemas.microsoft.com/office/drawing/2014/main" id="{00000000-0008-0000-0900-000015010000}"/>
              </a:ext>
            </a:extLst>
          </xdr:cNvPr>
          <xdr:cNvSpPr txBox="1"/>
        </xdr:nvSpPr>
        <xdr:spPr>
          <a:xfrm>
            <a:off x="9810355" y="4281863"/>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278" name="TextBox 277">
            <a:extLst>
              <a:ext uri="{FF2B5EF4-FFF2-40B4-BE49-F238E27FC236}">
                <a16:creationId xmlns:a16="http://schemas.microsoft.com/office/drawing/2014/main" id="{00000000-0008-0000-0900-000016010000}"/>
              </a:ext>
            </a:extLst>
          </xdr:cNvPr>
          <xdr:cNvSpPr txBox="1"/>
        </xdr:nvSpPr>
        <xdr:spPr>
          <a:xfrm>
            <a:off x="9810355" y="4601372"/>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63374</xdr:colOff>
      <xdr:row>6</xdr:row>
      <xdr:rowOff>88510</xdr:rowOff>
    </xdr:from>
    <xdr:to>
      <xdr:col>5</xdr:col>
      <xdr:colOff>368174</xdr:colOff>
      <xdr:row>27</xdr:row>
      <xdr:rowOff>132166</xdr:rowOff>
    </xdr:to>
    <xdr:grpSp>
      <xdr:nvGrpSpPr>
        <xdr:cNvPr id="29725" name="Group 29724">
          <a:extLst>
            <a:ext uri="{FF2B5EF4-FFF2-40B4-BE49-F238E27FC236}">
              <a16:creationId xmlns:a16="http://schemas.microsoft.com/office/drawing/2014/main" id="{00000000-0008-0000-0900-00001D740000}"/>
            </a:ext>
          </a:extLst>
        </xdr:cNvPr>
        <xdr:cNvGrpSpPr/>
      </xdr:nvGrpSpPr>
      <xdr:grpSpPr>
        <a:xfrm>
          <a:off x="749174" y="1288660"/>
          <a:ext cx="3048000" cy="4244181"/>
          <a:chOff x="10028905" y="1279135"/>
          <a:chExt cx="3067050" cy="4294188"/>
        </a:xfrm>
      </xdr:grpSpPr>
      <xdr:sp macro="" textlink="">
        <xdr:nvSpPr>
          <xdr:cNvPr id="284" name="TextBox 283">
            <a:extLst>
              <a:ext uri="{FF2B5EF4-FFF2-40B4-BE49-F238E27FC236}">
                <a16:creationId xmlns:a16="http://schemas.microsoft.com/office/drawing/2014/main" id="{00000000-0008-0000-0900-00001C010000}"/>
              </a:ext>
            </a:extLst>
          </xdr:cNvPr>
          <xdr:cNvSpPr txBox="1"/>
        </xdr:nvSpPr>
        <xdr:spPr>
          <a:xfrm>
            <a:off x="10028905" y="1279135"/>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29.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had to have a partnership?</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Think of creating new solutions with a partner company. Who would you work with? What would that create? Philips has a history of launching products in joint ventures with other companies, such as Senseo or Nivea. A big part of our business at Board of Innovation is running B2B co-development initiatives.</a:t>
            </a:r>
            <a:endParaRPr lang="en-US" sz="1100"/>
          </a:p>
        </xdr:txBody>
      </xdr:sp>
      <xdr:sp macro="" textlink="">
        <xdr:nvSpPr>
          <xdr:cNvPr id="285" name="TextBox 284">
            <a:extLst>
              <a:ext uri="{FF2B5EF4-FFF2-40B4-BE49-F238E27FC236}">
                <a16:creationId xmlns:a16="http://schemas.microsoft.com/office/drawing/2014/main" id="{00000000-0008-0000-0900-00001D010000}"/>
              </a:ext>
            </a:extLst>
          </xdr:cNvPr>
          <xdr:cNvSpPr txBox="1"/>
        </xdr:nvSpPr>
        <xdr:spPr>
          <a:xfrm>
            <a:off x="10028905" y="4180268"/>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286" name="TextBox 285">
            <a:extLst>
              <a:ext uri="{FF2B5EF4-FFF2-40B4-BE49-F238E27FC236}">
                <a16:creationId xmlns:a16="http://schemas.microsoft.com/office/drawing/2014/main" id="{00000000-0008-0000-0900-00001E010000}"/>
              </a:ext>
            </a:extLst>
          </xdr:cNvPr>
          <xdr:cNvSpPr txBox="1"/>
        </xdr:nvSpPr>
        <xdr:spPr>
          <a:xfrm>
            <a:off x="10028905" y="4499777"/>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57028</xdr:colOff>
      <xdr:row>6</xdr:row>
      <xdr:rowOff>80840</xdr:rowOff>
    </xdr:from>
    <xdr:to>
      <xdr:col>5</xdr:col>
      <xdr:colOff>361828</xdr:colOff>
      <xdr:row>27</xdr:row>
      <xdr:rowOff>124496</xdr:rowOff>
    </xdr:to>
    <xdr:grpSp>
      <xdr:nvGrpSpPr>
        <xdr:cNvPr id="29724" name="Group 29723">
          <a:extLst>
            <a:ext uri="{FF2B5EF4-FFF2-40B4-BE49-F238E27FC236}">
              <a16:creationId xmlns:a16="http://schemas.microsoft.com/office/drawing/2014/main" id="{00000000-0008-0000-0900-00001C740000}"/>
            </a:ext>
          </a:extLst>
        </xdr:cNvPr>
        <xdr:cNvGrpSpPr/>
      </xdr:nvGrpSpPr>
      <xdr:grpSpPr>
        <a:xfrm>
          <a:off x="742828" y="1280990"/>
          <a:ext cx="3048000" cy="4244181"/>
          <a:chOff x="9974935" y="1473872"/>
          <a:chExt cx="3067050" cy="4294188"/>
        </a:xfrm>
      </xdr:grpSpPr>
      <xdr:sp macro="" textlink="">
        <xdr:nvSpPr>
          <xdr:cNvPr id="288" name="TextBox 287">
            <a:extLst>
              <a:ext uri="{FF2B5EF4-FFF2-40B4-BE49-F238E27FC236}">
                <a16:creationId xmlns:a16="http://schemas.microsoft.com/office/drawing/2014/main" id="{00000000-0008-0000-0900-000020010000}"/>
              </a:ext>
            </a:extLst>
          </xdr:cNvPr>
          <xdr:cNvSpPr txBox="1"/>
        </xdr:nvSpPr>
        <xdr:spPr>
          <a:xfrm>
            <a:off x="9974935" y="1473872"/>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28.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your users were doing marketing for you?</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Imagine that instead of creating your own videos and marketing material, you let your users do the job for you. Think of user-generated content or collaborations with social media influencers. GoPro, for example, extensively leverages real footage from users for its marketing purposes.</a:t>
            </a:r>
            <a:endParaRPr lang="en-US" sz="1100"/>
          </a:p>
        </xdr:txBody>
      </xdr:sp>
      <xdr:sp macro="" textlink="">
        <xdr:nvSpPr>
          <xdr:cNvPr id="289" name="TextBox 288">
            <a:extLst>
              <a:ext uri="{FF2B5EF4-FFF2-40B4-BE49-F238E27FC236}">
                <a16:creationId xmlns:a16="http://schemas.microsoft.com/office/drawing/2014/main" id="{00000000-0008-0000-0900-000021010000}"/>
              </a:ext>
            </a:extLst>
          </xdr:cNvPr>
          <xdr:cNvSpPr txBox="1"/>
        </xdr:nvSpPr>
        <xdr:spPr>
          <a:xfrm>
            <a:off x="9974935" y="4375005"/>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290" name="TextBox 289">
            <a:extLst>
              <a:ext uri="{FF2B5EF4-FFF2-40B4-BE49-F238E27FC236}">
                <a16:creationId xmlns:a16="http://schemas.microsoft.com/office/drawing/2014/main" id="{00000000-0008-0000-0900-000022010000}"/>
              </a:ext>
            </a:extLst>
          </xdr:cNvPr>
          <xdr:cNvSpPr txBox="1"/>
        </xdr:nvSpPr>
        <xdr:spPr>
          <a:xfrm>
            <a:off x="9974935" y="4694514"/>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57029</xdr:colOff>
      <xdr:row>6</xdr:row>
      <xdr:rowOff>68935</xdr:rowOff>
    </xdr:from>
    <xdr:to>
      <xdr:col>5</xdr:col>
      <xdr:colOff>361829</xdr:colOff>
      <xdr:row>27</xdr:row>
      <xdr:rowOff>112591</xdr:rowOff>
    </xdr:to>
    <xdr:grpSp>
      <xdr:nvGrpSpPr>
        <xdr:cNvPr id="29723" name="Group 29722">
          <a:extLst>
            <a:ext uri="{FF2B5EF4-FFF2-40B4-BE49-F238E27FC236}">
              <a16:creationId xmlns:a16="http://schemas.microsoft.com/office/drawing/2014/main" id="{00000000-0008-0000-0900-00001B740000}"/>
            </a:ext>
          </a:extLst>
        </xdr:cNvPr>
        <xdr:cNvGrpSpPr/>
      </xdr:nvGrpSpPr>
      <xdr:grpSpPr>
        <a:xfrm>
          <a:off x="742829" y="1269085"/>
          <a:ext cx="3048000" cy="4244181"/>
          <a:chOff x="10629779" y="1581029"/>
          <a:chExt cx="3067050" cy="4294188"/>
        </a:xfrm>
      </xdr:grpSpPr>
      <xdr:sp macro="" textlink="">
        <xdr:nvSpPr>
          <xdr:cNvPr id="292" name="TextBox 291">
            <a:extLst>
              <a:ext uri="{FF2B5EF4-FFF2-40B4-BE49-F238E27FC236}">
                <a16:creationId xmlns:a16="http://schemas.microsoft.com/office/drawing/2014/main" id="{00000000-0008-0000-0900-000024010000}"/>
              </a:ext>
            </a:extLst>
          </xdr:cNvPr>
          <xdr:cNvSpPr txBox="1"/>
        </xdr:nvSpPr>
        <xdr:spPr>
          <a:xfrm>
            <a:off x="10629779" y="1581029"/>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27.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your company had only 4 employees?</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Imagine ways to offer your products and services with a small team. Consider automation, outsourcing, and other solutions. Instagram had 13 employees when Facebook acquired it for $ 1 billion.</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endParaRPr lang="en-US" sz="1100"/>
          </a:p>
        </xdr:txBody>
      </xdr:sp>
      <xdr:sp macro="" textlink="">
        <xdr:nvSpPr>
          <xdr:cNvPr id="293" name="TextBox 292">
            <a:extLst>
              <a:ext uri="{FF2B5EF4-FFF2-40B4-BE49-F238E27FC236}">
                <a16:creationId xmlns:a16="http://schemas.microsoft.com/office/drawing/2014/main" id="{00000000-0008-0000-0900-000025010000}"/>
              </a:ext>
            </a:extLst>
          </xdr:cNvPr>
          <xdr:cNvSpPr txBox="1"/>
        </xdr:nvSpPr>
        <xdr:spPr>
          <a:xfrm>
            <a:off x="10629779" y="4482162"/>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294" name="TextBox 293">
            <a:extLst>
              <a:ext uri="{FF2B5EF4-FFF2-40B4-BE49-F238E27FC236}">
                <a16:creationId xmlns:a16="http://schemas.microsoft.com/office/drawing/2014/main" id="{00000000-0008-0000-0900-000026010000}"/>
              </a:ext>
            </a:extLst>
          </xdr:cNvPr>
          <xdr:cNvSpPr txBox="1"/>
        </xdr:nvSpPr>
        <xdr:spPr>
          <a:xfrm>
            <a:off x="10629779" y="4801671"/>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49360</xdr:colOff>
      <xdr:row>6</xdr:row>
      <xdr:rowOff>73173</xdr:rowOff>
    </xdr:from>
    <xdr:to>
      <xdr:col>5</xdr:col>
      <xdr:colOff>354160</xdr:colOff>
      <xdr:row>27</xdr:row>
      <xdr:rowOff>116829</xdr:rowOff>
    </xdr:to>
    <xdr:grpSp>
      <xdr:nvGrpSpPr>
        <xdr:cNvPr id="29722" name="Group 29721">
          <a:extLst>
            <a:ext uri="{FF2B5EF4-FFF2-40B4-BE49-F238E27FC236}">
              <a16:creationId xmlns:a16="http://schemas.microsoft.com/office/drawing/2014/main" id="{00000000-0008-0000-0900-00001A740000}"/>
            </a:ext>
          </a:extLst>
        </xdr:cNvPr>
        <xdr:cNvGrpSpPr/>
      </xdr:nvGrpSpPr>
      <xdr:grpSpPr>
        <a:xfrm>
          <a:off x="735160" y="1273323"/>
          <a:ext cx="3048000" cy="4244181"/>
          <a:chOff x="9991080" y="1501923"/>
          <a:chExt cx="3067050" cy="4294188"/>
        </a:xfrm>
      </xdr:grpSpPr>
      <xdr:sp macro="" textlink="">
        <xdr:nvSpPr>
          <xdr:cNvPr id="296" name="TextBox 295">
            <a:extLst>
              <a:ext uri="{FF2B5EF4-FFF2-40B4-BE49-F238E27FC236}">
                <a16:creationId xmlns:a16="http://schemas.microsoft.com/office/drawing/2014/main" id="{00000000-0008-0000-0900-000028010000}"/>
              </a:ext>
            </a:extLst>
          </xdr:cNvPr>
          <xdr:cNvSpPr txBox="1"/>
        </xdr:nvSpPr>
        <xdr:spPr>
          <a:xfrm>
            <a:off x="9991080" y="1501923"/>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26.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allowed external providers into your service?</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Imagine ways to let other companies integrate their services into your service. Slack allows hundreds of third-party extensions into its communication platform.</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endParaRPr lang="en-US" sz="1100"/>
          </a:p>
        </xdr:txBody>
      </xdr:sp>
      <xdr:sp macro="" textlink="">
        <xdr:nvSpPr>
          <xdr:cNvPr id="297" name="TextBox 296">
            <a:extLst>
              <a:ext uri="{FF2B5EF4-FFF2-40B4-BE49-F238E27FC236}">
                <a16:creationId xmlns:a16="http://schemas.microsoft.com/office/drawing/2014/main" id="{00000000-0008-0000-0900-000029010000}"/>
              </a:ext>
            </a:extLst>
          </xdr:cNvPr>
          <xdr:cNvSpPr txBox="1"/>
        </xdr:nvSpPr>
        <xdr:spPr>
          <a:xfrm>
            <a:off x="9991080" y="4403056"/>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298" name="TextBox 297">
            <a:extLst>
              <a:ext uri="{FF2B5EF4-FFF2-40B4-BE49-F238E27FC236}">
                <a16:creationId xmlns:a16="http://schemas.microsoft.com/office/drawing/2014/main" id="{00000000-0008-0000-0900-00002A010000}"/>
              </a:ext>
            </a:extLst>
          </xdr:cNvPr>
          <xdr:cNvSpPr txBox="1"/>
        </xdr:nvSpPr>
        <xdr:spPr>
          <a:xfrm>
            <a:off x="9991080" y="4722565"/>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54923</xdr:colOff>
      <xdr:row>6</xdr:row>
      <xdr:rowOff>78734</xdr:rowOff>
    </xdr:from>
    <xdr:to>
      <xdr:col>5</xdr:col>
      <xdr:colOff>359723</xdr:colOff>
      <xdr:row>27</xdr:row>
      <xdr:rowOff>122390</xdr:rowOff>
    </xdr:to>
    <xdr:grpSp>
      <xdr:nvGrpSpPr>
        <xdr:cNvPr id="29721" name="Group 29720">
          <a:extLst>
            <a:ext uri="{FF2B5EF4-FFF2-40B4-BE49-F238E27FC236}">
              <a16:creationId xmlns:a16="http://schemas.microsoft.com/office/drawing/2014/main" id="{00000000-0008-0000-0900-000019740000}"/>
            </a:ext>
          </a:extLst>
        </xdr:cNvPr>
        <xdr:cNvGrpSpPr/>
      </xdr:nvGrpSpPr>
      <xdr:grpSpPr>
        <a:xfrm>
          <a:off x="740723" y="1278884"/>
          <a:ext cx="3048000" cy="4244181"/>
          <a:chOff x="10389547" y="1459859"/>
          <a:chExt cx="3067050" cy="4294188"/>
        </a:xfrm>
      </xdr:grpSpPr>
      <xdr:sp macro="" textlink="">
        <xdr:nvSpPr>
          <xdr:cNvPr id="300" name="TextBox 299">
            <a:extLst>
              <a:ext uri="{FF2B5EF4-FFF2-40B4-BE49-F238E27FC236}">
                <a16:creationId xmlns:a16="http://schemas.microsoft.com/office/drawing/2014/main" id="{00000000-0008-0000-0900-00002C010000}"/>
              </a:ext>
            </a:extLst>
          </xdr:cNvPr>
          <xdr:cNvSpPr txBox="1"/>
        </xdr:nvSpPr>
        <xdr:spPr>
          <a:xfrm>
            <a:off x="10389547" y="1459859"/>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25.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offered a service rather than a just product?</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Ease your customer‘s experience by combining more services into your industry. Moovel created a platform that integrates public transport, bike sharing, car sharing, taxi companies, an overall search tool and payment solution. This all-in-one solution offers mobility as a service, not just a product.</a:t>
            </a:r>
            <a:endParaRPr lang="en-US" sz="1100"/>
          </a:p>
        </xdr:txBody>
      </xdr:sp>
      <xdr:sp macro="" textlink="">
        <xdr:nvSpPr>
          <xdr:cNvPr id="301" name="TextBox 300">
            <a:extLst>
              <a:ext uri="{FF2B5EF4-FFF2-40B4-BE49-F238E27FC236}">
                <a16:creationId xmlns:a16="http://schemas.microsoft.com/office/drawing/2014/main" id="{00000000-0008-0000-0900-00002D010000}"/>
              </a:ext>
            </a:extLst>
          </xdr:cNvPr>
          <xdr:cNvSpPr txBox="1"/>
        </xdr:nvSpPr>
        <xdr:spPr>
          <a:xfrm>
            <a:off x="10389547" y="4360992"/>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302" name="TextBox 301">
            <a:extLst>
              <a:ext uri="{FF2B5EF4-FFF2-40B4-BE49-F238E27FC236}">
                <a16:creationId xmlns:a16="http://schemas.microsoft.com/office/drawing/2014/main" id="{00000000-0008-0000-0900-00002E010000}"/>
              </a:ext>
            </a:extLst>
          </xdr:cNvPr>
          <xdr:cNvSpPr txBox="1"/>
        </xdr:nvSpPr>
        <xdr:spPr>
          <a:xfrm>
            <a:off x="10389547" y="4680501"/>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60482</xdr:colOff>
      <xdr:row>6</xdr:row>
      <xdr:rowOff>82973</xdr:rowOff>
    </xdr:from>
    <xdr:to>
      <xdr:col>5</xdr:col>
      <xdr:colOff>365282</xdr:colOff>
      <xdr:row>27</xdr:row>
      <xdr:rowOff>126629</xdr:rowOff>
    </xdr:to>
    <xdr:grpSp>
      <xdr:nvGrpSpPr>
        <xdr:cNvPr id="29720" name="Group 29719">
          <a:extLst>
            <a:ext uri="{FF2B5EF4-FFF2-40B4-BE49-F238E27FC236}">
              <a16:creationId xmlns:a16="http://schemas.microsoft.com/office/drawing/2014/main" id="{00000000-0008-0000-0900-000018740000}"/>
            </a:ext>
          </a:extLst>
        </xdr:cNvPr>
        <xdr:cNvGrpSpPr/>
      </xdr:nvGrpSpPr>
      <xdr:grpSpPr>
        <a:xfrm>
          <a:off x="746282" y="1283123"/>
          <a:ext cx="3048000" cy="4244181"/>
          <a:chOff x="10240327" y="1499816"/>
          <a:chExt cx="3067050" cy="4294188"/>
        </a:xfrm>
      </xdr:grpSpPr>
      <xdr:sp macro="" textlink="">
        <xdr:nvSpPr>
          <xdr:cNvPr id="304" name="TextBox 303">
            <a:extLst>
              <a:ext uri="{FF2B5EF4-FFF2-40B4-BE49-F238E27FC236}">
                <a16:creationId xmlns:a16="http://schemas.microsoft.com/office/drawing/2014/main" id="{00000000-0008-0000-0900-000030010000}"/>
              </a:ext>
            </a:extLst>
          </xdr:cNvPr>
          <xdr:cNvSpPr txBox="1"/>
        </xdr:nvSpPr>
        <xdr:spPr>
          <a:xfrm>
            <a:off x="10240327" y="1499816"/>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24.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turned from B2C to B2B (or vice versa)?</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Originally, Airbnb only designed a service for B2C. Later, they added B2B services, with Airbnb offering new standards for business travelers and Ryanair offering a business package.</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By the way, is there a Business partner with whom you could offer a business package?</a:t>
            </a:r>
            <a:endParaRPr lang="en-US" sz="1100"/>
          </a:p>
        </xdr:txBody>
      </xdr:sp>
      <xdr:sp macro="" textlink="">
        <xdr:nvSpPr>
          <xdr:cNvPr id="305" name="TextBox 304">
            <a:extLst>
              <a:ext uri="{FF2B5EF4-FFF2-40B4-BE49-F238E27FC236}">
                <a16:creationId xmlns:a16="http://schemas.microsoft.com/office/drawing/2014/main" id="{00000000-0008-0000-0900-000031010000}"/>
              </a:ext>
            </a:extLst>
          </xdr:cNvPr>
          <xdr:cNvSpPr txBox="1"/>
        </xdr:nvSpPr>
        <xdr:spPr>
          <a:xfrm>
            <a:off x="10240327" y="4400949"/>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306" name="TextBox 305">
            <a:extLst>
              <a:ext uri="{FF2B5EF4-FFF2-40B4-BE49-F238E27FC236}">
                <a16:creationId xmlns:a16="http://schemas.microsoft.com/office/drawing/2014/main" id="{00000000-0008-0000-0900-000032010000}"/>
              </a:ext>
            </a:extLst>
          </xdr:cNvPr>
          <xdr:cNvSpPr txBox="1"/>
        </xdr:nvSpPr>
        <xdr:spPr>
          <a:xfrm>
            <a:off x="10240327" y="4720458"/>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56933</xdr:colOff>
      <xdr:row>6</xdr:row>
      <xdr:rowOff>80746</xdr:rowOff>
    </xdr:from>
    <xdr:to>
      <xdr:col>5</xdr:col>
      <xdr:colOff>361733</xdr:colOff>
      <xdr:row>27</xdr:row>
      <xdr:rowOff>124402</xdr:rowOff>
    </xdr:to>
    <xdr:grpSp>
      <xdr:nvGrpSpPr>
        <xdr:cNvPr id="29719" name="Group 29718">
          <a:extLst>
            <a:ext uri="{FF2B5EF4-FFF2-40B4-BE49-F238E27FC236}">
              <a16:creationId xmlns:a16="http://schemas.microsoft.com/office/drawing/2014/main" id="{00000000-0008-0000-0900-000017740000}"/>
            </a:ext>
          </a:extLst>
        </xdr:cNvPr>
        <xdr:cNvGrpSpPr/>
      </xdr:nvGrpSpPr>
      <xdr:grpSpPr>
        <a:xfrm>
          <a:off x="742733" y="1280896"/>
          <a:ext cx="3048000" cy="4244181"/>
          <a:chOff x="10617777" y="2033370"/>
          <a:chExt cx="3067050" cy="4294188"/>
        </a:xfrm>
      </xdr:grpSpPr>
      <xdr:sp macro="" textlink="">
        <xdr:nvSpPr>
          <xdr:cNvPr id="312" name="TextBox 311">
            <a:extLst>
              <a:ext uri="{FF2B5EF4-FFF2-40B4-BE49-F238E27FC236}">
                <a16:creationId xmlns:a16="http://schemas.microsoft.com/office/drawing/2014/main" id="{00000000-0008-0000-0900-000038010000}"/>
              </a:ext>
            </a:extLst>
          </xdr:cNvPr>
          <xdr:cNvSpPr txBox="1"/>
        </xdr:nvSpPr>
        <xdr:spPr>
          <a:xfrm>
            <a:off x="10617777" y="2033370"/>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23.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went from ownership to rentals?</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Imagine ways to rent out your product or service instead of people owning them. Rent the Runway is redefining the fashion industry by renting out designer dresses that can be returned after use.</a:t>
            </a:r>
            <a:endParaRPr lang="en-US" sz="1100"/>
          </a:p>
        </xdr:txBody>
      </xdr:sp>
      <xdr:sp macro="" textlink="">
        <xdr:nvSpPr>
          <xdr:cNvPr id="313" name="TextBox 312">
            <a:extLst>
              <a:ext uri="{FF2B5EF4-FFF2-40B4-BE49-F238E27FC236}">
                <a16:creationId xmlns:a16="http://schemas.microsoft.com/office/drawing/2014/main" id="{00000000-0008-0000-0900-000039010000}"/>
              </a:ext>
            </a:extLst>
          </xdr:cNvPr>
          <xdr:cNvSpPr txBox="1"/>
        </xdr:nvSpPr>
        <xdr:spPr>
          <a:xfrm>
            <a:off x="10617777" y="4934503"/>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314" name="TextBox 313">
            <a:extLst>
              <a:ext uri="{FF2B5EF4-FFF2-40B4-BE49-F238E27FC236}">
                <a16:creationId xmlns:a16="http://schemas.microsoft.com/office/drawing/2014/main" id="{00000000-0008-0000-0900-00003A010000}"/>
              </a:ext>
            </a:extLst>
          </xdr:cNvPr>
          <xdr:cNvSpPr txBox="1"/>
        </xdr:nvSpPr>
        <xdr:spPr>
          <a:xfrm>
            <a:off x="10617777" y="5254012"/>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49264</xdr:colOff>
      <xdr:row>6</xdr:row>
      <xdr:rowOff>84984</xdr:rowOff>
    </xdr:from>
    <xdr:to>
      <xdr:col>5</xdr:col>
      <xdr:colOff>354064</xdr:colOff>
      <xdr:row>27</xdr:row>
      <xdr:rowOff>128640</xdr:rowOff>
    </xdr:to>
    <xdr:grpSp>
      <xdr:nvGrpSpPr>
        <xdr:cNvPr id="29718" name="Group 29717">
          <a:extLst>
            <a:ext uri="{FF2B5EF4-FFF2-40B4-BE49-F238E27FC236}">
              <a16:creationId xmlns:a16="http://schemas.microsoft.com/office/drawing/2014/main" id="{00000000-0008-0000-0900-000016740000}"/>
            </a:ext>
          </a:extLst>
        </xdr:cNvPr>
        <xdr:cNvGrpSpPr/>
      </xdr:nvGrpSpPr>
      <xdr:grpSpPr>
        <a:xfrm>
          <a:off x="735064" y="1285134"/>
          <a:ext cx="3048000" cy="4244181"/>
          <a:chOff x="10502952" y="1739952"/>
          <a:chExt cx="3067050" cy="4294188"/>
        </a:xfrm>
      </xdr:grpSpPr>
      <xdr:sp macro="" textlink="">
        <xdr:nvSpPr>
          <xdr:cNvPr id="316" name="TextBox 315">
            <a:extLst>
              <a:ext uri="{FF2B5EF4-FFF2-40B4-BE49-F238E27FC236}">
                <a16:creationId xmlns:a16="http://schemas.microsoft.com/office/drawing/2014/main" id="{00000000-0008-0000-0900-00003C010000}"/>
              </a:ext>
            </a:extLst>
          </xdr:cNvPr>
          <xdr:cNvSpPr txBox="1"/>
        </xdr:nvSpPr>
        <xdr:spPr>
          <a:xfrm>
            <a:off x="10502952" y="1739952"/>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22.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direct advertising was forbidden?</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Imagine a world without commercials. Brand lovers would need to share their experiences with good products and services with others. Costco saves an estimated 2 % a year in costs by not advertising, allowing the company to lower prices for loyal members.</a:t>
            </a:r>
            <a:endParaRPr lang="en-US" sz="1100"/>
          </a:p>
        </xdr:txBody>
      </xdr:sp>
      <xdr:sp macro="" textlink="">
        <xdr:nvSpPr>
          <xdr:cNvPr id="317" name="TextBox 316">
            <a:extLst>
              <a:ext uri="{FF2B5EF4-FFF2-40B4-BE49-F238E27FC236}">
                <a16:creationId xmlns:a16="http://schemas.microsoft.com/office/drawing/2014/main" id="{00000000-0008-0000-0900-00003D010000}"/>
              </a:ext>
            </a:extLst>
          </xdr:cNvPr>
          <xdr:cNvSpPr txBox="1"/>
        </xdr:nvSpPr>
        <xdr:spPr>
          <a:xfrm>
            <a:off x="10502952" y="4641085"/>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318" name="TextBox 317">
            <a:extLst>
              <a:ext uri="{FF2B5EF4-FFF2-40B4-BE49-F238E27FC236}">
                <a16:creationId xmlns:a16="http://schemas.microsoft.com/office/drawing/2014/main" id="{00000000-0008-0000-0900-00003E010000}"/>
              </a:ext>
            </a:extLst>
          </xdr:cNvPr>
          <xdr:cNvSpPr txBox="1"/>
        </xdr:nvSpPr>
        <xdr:spPr>
          <a:xfrm>
            <a:off x="10502952" y="4960594"/>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65408</xdr:colOff>
      <xdr:row>6</xdr:row>
      <xdr:rowOff>78638</xdr:rowOff>
    </xdr:from>
    <xdr:to>
      <xdr:col>5</xdr:col>
      <xdr:colOff>370208</xdr:colOff>
      <xdr:row>27</xdr:row>
      <xdr:rowOff>122294</xdr:rowOff>
    </xdr:to>
    <xdr:grpSp>
      <xdr:nvGrpSpPr>
        <xdr:cNvPr id="29717" name="Group 29716">
          <a:extLst>
            <a:ext uri="{FF2B5EF4-FFF2-40B4-BE49-F238E27FC236}">
              <a16:creationId xmlns:a16="http://schemas.microsoft.com/office/drawing/2014/main" id="{00000000-0008-0000-0900-000015740000}"/>
            </a:ext>
          </a:extLst>
        </xdr:cNvPr>
        <xdr:cNvGrpSpPr/>
      </xdr:nvGrpSpPr>
      <xdr:grpSpPr>
        <a:xfrm>
          <a:off x="751208" y="1278788"/>
          <a:ext cx="3048000" cy="4244181"/>
          <a:chOff x="11054878" y="1650263"/>
          <a:chExt cx="3067050" cy="4294188"/>
        </a:xfrm>
      </xdr:grpSpPr>
      <xdr:sp macro="" textlink="">
        <xdr:nvSpPr>
          <xdr:cNvPr id="320" name="TextBox 319">
            <a:extLst>
              <a:ext uri="{FF2B5EF4-FFF2-40B4-BE49-F238E27FC236}">
                <a16:creationId xmlns:a16="http://schemas.microsoft.com/office/drawing/2014/main" id="{00000000-0008-0000-0900-000040010000}"/>
              </a:ext>
            </a:extLst>
          </xdr:cNvPr>
          <xdr:cNvSpPr txBox="1"/>
        </xdr:nvSpPr>
        <xdr:spPr>
          <a:xfrm>
            <a:off x="11054878" y="1650263"/>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21.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your product or service had a premium option?</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Imagine adding a premium option to what you already provide. How can you increase value by adding an extra feature or removing a hassle of your service? Gold members of the dating app Tinder, can skip people that aren‘t active users anymore, and only browse people who already liked them.</a:t>
            </a:r>
            <a:endParaRPr lang="en-US" sz="1100"/>
          </a:p>
        </xdr:txBody>
      </xdr:sp>
      <xdr:sp macro="" textlink="">
        <xdr:nvSpPr>
          <xdr:cNvPr id="321" name="TextBox 320">
            <a:extLst>
              <a:ext uri="{FF2B5EF4-FFF2-40B4-BE49-F238E27FC236}">
                <a16:creationId xmlns:a16="http://schemas.microsoft.com/office/drawing/2014/main" id="{00000000-0008-0000-0900-000041010000}"/>
              </a:ext>
            </a:extLst>
          </xdr:cNvPr>
          <xdr:cNvSpPr txBox="1"/>
        </xdr:nvSpPr>
        <xdr:spPr>
          <a:xfrm>
            <a:off x="11054878" y="4551396"/>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322" name="TextBox 321">
            <a:extLst>
              <a:ext uri="{FF2B5EF4-FFF2-40B4-BE49-F238E27FC236}">
                <a16:creationId xmlns:a16="http://schemas.microsoft.com/office/drawing/2014/main" id="{00000000-0008-0000-0900-000042010000}"/>
              </a:ext>
            </a:extLst>
          </xdr:cNvPr>
          <xdr:cNvSpPr txBox="1"/>
        </xdr:nvSpPr>
        <xdr:spPr>
          <a:xfrm>
            <a:off x="11054878" y="4870905"/>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59064</xdr:colOff>
      <xdr:row>6</xdr:row>
      <xdr:rowOff>82877</xdr:rowOff>
    </xdr:from>
    <xdr:to>
      <xdr:col>5</xdr:col>
      <xdr:colOff>363864</xdr:colOff>
      <xdr:row>27</xdr:row>
      <xdr:rowOff>126533</xdr:rowOff>
    </xdr:to>
    <xdr:grpSp>
      <xdr:nvGrpSpPr>
        <xdr:cNvPr id="29716" name="Group 29715">
          <a:extLst>
            <a:ext uri="{FF2B5EF4-FFF2-40B4-BE49-F238E27FC236}">
              <a16:creationId xmlns:a16="http://schemas.microsoft.com/office/drawing/2014/main" id="{00000000-0008-0000-0900-000014740000}"/>
            </a:ext>
          </a:extLst>
        </xdr:cNvPr>
        <xdr:cNvGrpSpPr/>
      </xdr:nvGrpSpPr>
      <xdr:grpSpPr>
        <a:xfrm>
          <a:off x="744864" y="1283027"/>
          <a:ext cx="3048000" cy="4244181"/>
          <a:chOff x="11203314" y="1523532"/>
          <a:chExt cx="3067050" cy="4294188"/>
        </a:xfrm>
      </xdr:grpSpPr>
      <xdr:sp macro="" textlink="">
        <xdr:nvSpPr>
          <xdr:cNvPr id="328" name="TextBox 327">
            <a:extLst>
              <a:ext uri="{FF2B5EF4-FFF2-40B4-BE49-F238E27FC236}">
                <a16:creationId xmlns:a16="http://schemas.microsoft.com/office/drawing/2014/main" id="{00000000-0008-0000-0900-000048010000}"/>
              </a:ext>
            </a:extLst>
          </xdr:cNvPr>
          <xdr:cNvSpPr txBox="1"/>
        </xdr:nvSpPr>
        <xdr:spPr>
          <a:xfrm>
            <a:off x="11203314" y="1523532"/>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20.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could lower the barriers to use?</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Grab reaches out to taxi drivers by signing them up at airports, taxi queues, depots, etc. To facilitate the use of their services, Grab installs booths where people can wait at strategic points, even if they do not have the Grab app installed. Where can you find your users and how can you help them to adopt your offering?</a:t>
            </a:r>
            <a:endParaRPr lang="en-US" sz="1100"/>
          </a:p>
        </xdr:txBody>
      </xdr:sp>
      <xdr:sp macro="" textlink="">
        <xdr:nvSpPr>
          <xdr:cNvPr id="329" name="TextBox 328">
            <a:extLst>
              <a:ext uri="{FF2B5EF4-FFF2-40B4-BE49-F238E27FC236}">
                <a16:creationId xmlns:a16="http://schemas.microsoft.com/office/drawing/2014/main" id="{00000000-0008-0000-0900-000049010000}"/>
              </a:ext>
            </a:extLst>
          </xdr:cNvPr>
          <xdr:cNvSpPr txBox="1"/>
        </xdr:nvSpPr>
        <xdr:spPr>
          <a:xfrm>
            <a:off x="11203314" y="4424665"/>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330" name="TextBox 329">
            <a:extLst>
              <a:ext uri="{FF2B5EF4-FFF2-40B4-BE49-F238E27FC236}">
                <a16:creationId xmlns:a16="http://schemas.microsoft.com/office/drawing/2014/main" id="{00000000-0008-0000-0900-00004A010000}"/>
              </a:ext>
            </a:extLst>
          </xdr:cNvPr>
          <xdr:cNvSpPr txBox="1"/>
        </xdr:nvSpPr>
        <xdr:spPr>
          <a:xfrm>
            <a:off x="11203314" y="4744174"/>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51395</xdr:colOff>
      <xdr:row>6</xdr:row>
      <xdr:rowOff>88438</xdr:rowOff>
    </xdr:from>
    <xdr:to>
      <xdr:col>5</xdr:col>
      <xdr:colOff>356195</xdr:colOff>
      <xdr:row>27</xdr:row>
      <xdr:rowOff>132094</xdr:rowOff>
    </xdr:to>
    <xdr:grpSp>
      <xdr:nvGrpSpPr>
        <xdr:cNvPr id="29715" name="Group 29714">
          <a:extLst>
            <a:ext uri="{FF2B5EF4-FFF2-40B4-BE49-F238E27FC236}">
              <a16:creationId xmlns:a16="http://schemas.microsoft.com/office/drawing/2014/main" id="{00000000-0008-0000-0900-000013740000}"/>
            </a:ext>
          </a:extLst>
        </xdr:cNvPr>
        <xdr:cNvGrpSpPr/>
      </xdr:nvGrpSpPr>
      <xdr:grpSpPr>
        <a:xfrm>
          <a:off x="737195" y="1288588"/>
          <a:ext cx="3048000" cy="4244181"/>
          <a:chOff x="10933708" y="1541000"/>
          <a:chExt cx="3067050" cy="4294188"/>
        </a:xfrm>
      </xdr:grpSpPr>
      <xdr:sp macro="" textlink="">
        <xdr:nvSpPr>
          <xdr:cNvPr id="332" name="TextBox 331">
            <a:extLst>
              <a:ext uri="{FF2B5EF4-FFF2-40B4-BE49-F238E27FC236}">
                <a16:creationId xmlns:a16="http://schemas.microsoft.com/office/drawing/2014/main" id="{00000000-0008-0000-0900-00004C010000}"/>
              </a:ext>
            </a:extLst>
          </xdr:cNvPr>
          <xdr:cNvSpPr txBox="1"/>
        </xdr:nvSpPr>
        <xdr:spPr>
          <a:xfrm>
            <a:off x="10933708" y="1541000"/>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19.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owned nothing but delivered everything?</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Rappi is an on-demand delivery startup referred to as the ‚everything store‘. Its user interface looks like supermarket shelves where users can swipe any kind of item into their basket. Couriers can deliver everything on demand, from groceries, to cash from the ATM, or ever dog walking sessions.</a:t>
            </a:r>
            <a:endParaRPr lang="en-US" sz="1100"/>
          </a:p>
        </xdr:txBody>
      </xdr:sp>
      <xdr:sp macro="" textlink="">
        <xdr:nvSpPr>
          <xdr:cNvPr id="333" name="TextBox 332">
            <a:extLst>
              <a:ext uri="{FF2B5EF4-FFF2-40B4-BE49-F238E27FC236}">
                <a16:creationId xmlns:a16="http://schemas.microsoft.com/office/drawing/2014/main" id="{00000000-0008-0000-0900-00004D010000}"/>
              </a:ext>
            </a:extLst>
          </xdr:cNvPr>
          <xdr:cNvSpPr txBox="1"/>
        </xdr:nvSpPr>
        <xdr:spPr>
          <a:xfrm>
            <a:off x="10933708" y="4442133"/>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334" name="TextBox 333">
            <a:extLst>
              <a:ext uri="{FF2B5EF4-FFF2-40B4-BE49-F238E27FC236}">
                <a16:creationId xmlns:a16="http://schemas.microsoft.com/office/drawing/2014/main" id="{00000000-0008-0000-0900-00004E010000}"/>
              </a:ext>
            </a:extLst>
          </xdr:cNvPr>
          <xdr:cNvSpPr txBox="1"/>
        </xdr:nvSpPr>
        <xdr:spPr>
          <a:xfrm>
            <a:off x="10933708" y="4761642"/>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56956</xdr:colOff>
      <xdr:row>6</xdr:row>
      <xdr:rowOff>80769</xdr:rowOff>
    </xdr:from>
    <xdr:to>
      <xdr:col>5</xdr:col>
      <xdr:colOff>361756</xdr:colOff>
      <xdr:row>27</xdr:row>
      <xdr:rowOff>124425</xdr:rowOff>
    </xdr:to>
    <xdr:grpSp>
      <xdr:nvGrpSpPr>
        <xdr:cNvPr id="29714" name="Group 29713">
          <a:extLst>
            <a:ext uri="{FF2B5EF4-FFF2-40B4-BE49-F238E27FC236}">
              <a16:creationId xmlns:a16="http://schemas.microsoft.com/office/drawing/2014/main" id="{00000000-0008-0000-0900-000012740000}"/>
            </a:ext>
          </a:extLst>
        </xdr:cNvPr>
        <xdr:cNvGrpSpPr/>
      </xdr:nvGrpSpPr>
      <xdr:grpSpPr>
        <a:xfrm>
          <a:off x="742756" y="1280919"/>
          <a:ext cx="3048000" cy="4244181"/>
          <a:chOff x="11153582" y="1390457"/>
          <a:chExt cx="3067050" cy="4294188"/>
        </a:xfrm>
      </xdr:grpSpPr>
      <xdr:sp macro="" textlink="">
        <xdr:nvSpPr>
          <xdr:cNvPr id="336" name="TextBox 335">
            <a:extLst>
              <a:ext uri="{FF2B5EF4-FFF2-40B4-BE49-F238E27FC236}">
                <a16:creationId xmlns:a16="http://schemas.microsoft.com/office/drawing/2014/main" id="{00000000-0008-0000-0900-000050010000}"/>
              </a:ext>
            </a:extLst>
          </xdr:cNvPr>
          <xdr:cNvSpPr txBox="1"/>
        </xdr:nvSpPr>
        <xdr:spPr>
          <a:xfrm>
            <a:off x="11153582" y="1390457"/>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18.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decrease quality slightly to significantly decrease price?</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Is there a way to make your product a lot cheaper without ruining the whole experience? Ride sharing platform Cia changed the Uber door-to-door idea to a dropoff point close by, decreasing the price of rides by almost 50%</a:t>
            </a:r>
            <a:endParaRPr lang="en-US" sz="1100"/>
          </a:p>
        </xdr:txBody>
      </xdr:sp>
      <xdr:sp macro="" textlink="">
        <xdr:nvSpPr>
          <xdr:cNvPr id="337" name="TextBox 336">
            <a:extLst>
              <a:ext uri="{FF2B5EF4-FFF2-40B4-BE49-F238E27FC236}">
                <a16:creationId xmlns:a16="http://schemas.microsoft.com/office/drawing/2014/main" id="{00000000-0008-0000-0900-000051010000}"/>
              </a:ext>
            </a:extLst>
          </xdr:cNvPr>
          <xdr:cNvSpPr txBox="1"/>
        </xdr:nvSpPr>
        <xdr:spPr>
          <a:xfrm>
            <a:off x="11153582" y="4291590"/>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338" name="TextBox 337">
            <a:extLst>
              <a:ext uri="{FF2B5EF4-FFF2-40B4-BE49-F238E27FC236}">
                <a16:creationId xmlns:a16="http://schemas.microsoft.com/office/drawing/2014/main" id="{00000000-0008-0000-0900-000052010000}"/>
              </a:ext>
            </a:extLst>
          </xdr:cNvPr>
          <xdr:cNvSpPr txBox="1"/>
        </xdr:nvSpPr>
        <xdr:spPr>
          <a:xfrm>
            <a:off x="11153582" y="4611099"/>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56933</xdr:colOff>
      <xdr:row>6</xdr:row>
      <xdr:rowOff>93975</xdr:rowOff>
    </xdr:from>
    <xdr:to>
      <xdr:col>5</xdr:col>
      <xdr:colOff>361733</xdr:colOff>
      <xdr:row>27</xdr:row>
      <xdr:rowOff>137631</xdr:rowOff>
    </xdr:to>
    <xdr:grpSp>
      <xdr:nvGrpSpPr>
        <xdr:cNvPr id="29713" name="Group 29712">
          <a:extLst>
            <a:ext uri="{FF2B5EF4-FFF2-40B4-BE49-F238E27FC236}">
              <a16:creationId xmlns:a16="http://schemas.microsoft.com/office/drawing/2014/main" id="{00000000-0008-0000-0900-000011740000}"/>
            </a:ext>
          </a:extLst>
        </xdr:cNvPr>
        <xdr:cNvGrpSpPr/>
      </xdr:nvGrpSpPr>
      <xdr:grpSpPr>
        <a:xfrm>
          <a:off x="742733" y="1294125"/>
          <a:ext cx="3048000" cy="4244181"/>
          <a:chOff x="10570151" y="1475100"/>
          <a:chExt cx="3067050" cy="4294188"/>
        </a:xfrm>
      </xdr:grpSpPr>
      <xdr:sp macro="" textlink="">
        <xdr:nvSpPr>
          <xdr:cNvPr id="344" name="TextBox 343">
            <a:extLst>
              <a:ext uri="{FF2B5EF4-FFF2-40B4-BE49-F238E27FC236}">
                <a16:creationId xmlns:a16="http://schemas.microsoft.com/office/drawing/2014/main" id="{00000000-0008-0000-0900-000058010000}"/>
              </a:ext>
            </a:extLst>
          </xdr:cNvPr>
          <xdr:cNvSpPr txBox="1"/>
        </xdr:nvSpPr>
        <xdr:spPr>
          <a:xfrm>
            <a:off x="10570151" y="1475100"/>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17.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Customers shared your product or service offer?</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Imagine a setup that lets customers access an asset when they need it without owning it, helping them split the cost amongst peers. </a:t>
            </a:r>
            <a:r>
              <a:rPr lang="de-DE"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Car sharing and bicycle sharing schemes follow this principle.</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endParaRPr lang="en-US" sz="1100"/>
          </a:p>
        </xdr:txBody>
      </xdr:sp>
      <xdr:sp macro="" textlink="">
        <xdr:nvSpPr>
          <xdr:cNvPr id="345" name="TextBox 344">
            <a:extLst>
              <a:ext uri="{FF2B5EF4-FFF2-40B4-BE49-F238E27FC236}">
                <a16:creationId xmlns:a16="http://schemas.microsoft.com/office/drawing/2014/main" id="{00000000-0008-0000-0900-000059010000}"/>
              </a:ext>
            </a:extLst>
          </xdr:cNvPr>
          <xdr:cNvSpPr txBox="1"/>
        </xdr:nvSpPr>
        <xdr:spPr>
          <a:xfrm>
            <a:off x="10570151" y="4376233"/>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346" name="TextBox 345">
            <a:extLst>
              <a:ext uri="{FF2B5EF4-FFF2-40B4-BE49-F238E27FC236}">
                <a16:creationId xmlns:a16="http://schemas.microsoft.com/office/drawing/2014/main" id="{00000000-0008-0000-0900-00005A010000}"/>
              </a:ext>
            </a:extLst>
          </xdr:cNvPr>
          <xdr:cNvSpPr txBox="1"/>
        </xdr:nvSpPr>
        <xdr:spPr>
          <a:xfrm>
            <a:off x="10570151" y="4695742"/>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61171</xdr:colOff>
      <xdr:row>6</xdr:row>
      <xdr:rowOff>86305</xdr:rowOff>
    </xdr:from>
    <xdr:to>
      <xdr:col>5</xdr:col>
      <xdr:colOff>365971</xdr:colOff>
      <xdr:row>27</xdr:row>
      <xdr:rowOff>129961</xdr:rowOff>
    </xdr:to>
    <xdr:grpSp>
      <xdr:nvGrpSpPr>
        <xdr:cNvPr id="29712" name="Group 29711">
          <a:extLst>
            <a:ext uri="{FF2B5EF4-FFF2-40B4-BE49-F238E27FC236}">
              <a16:creationId xmlns:a16="http://schemas.microsoft.com/office/drawing/2014/main" id="{00000000-0008-0000-0900-000010740000}"/>
            </a:ext>
          </a:extLst>
        </xdr:cNvPr>
        <xdr:cNvGrpSpPr/>
      </xdr:nvGrpSpPr>
      <xdr:grpSpPr>
        <a:xfrm>
          <a:off x="746971" y="1286455"/>
          <a:ext cx="3048000" cy="4244181"/>
          <a:chOff x="11455452" y="1479337"/>
          <a:chExt cx="3067050" cy="4294188"/>
        </a:xfrm>
      </xdr:grpSpPr>
      <xdr:sp macro="" textlink="">
        <xdr:nvSpPr>
          <xdr:cNvPr id="352" name="TextBox 351">
            <a:extLst>
              <a:ext uri="{FF2B5EF4-FFF2-40B4-BE49-F238E27FC236}">
                <a16:creationId xmlns:a16="http://schemas.microsoft.com/office/drawing/2014/main" id="{00000000-0008-0000-0900-000060010000}"/>
              </a:ext>
            </a:extLst>
          </xdr:cNvPr>
          <xdr:cNvSpPr txBox="1"/>
        </xdr:nvSpPr>
        <xdr:spPr>
          <a:xfrm>
            <a:off x="11455452" y="1479337"/>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16.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helped to reduce the use of technology?</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Imagine ways to help your customers use your product less. After great success with 3rd party apps, Apple included a Screen Time function  to their devices, giving users an overview of how much time spent on the device, on which apps, and let users set limits on their usage.</a:t>
            </a:r>
            <a:endParaRPr lang="en-US" sz="1100"/>
          </a:p>
        </xdr:txBody>
      </xdr:sp>
      <xdr:sp macro="" textlink="">
        <xdr:nvSpPr>
          <xdr:cNvPr id="353" name="TextBox 352">
            <a:extLst>
              <a:ext uri="{FF2B5EF4-FFF2-40B4-BE49-F238E27FC236}">
                <a16:creationId xmlns:a16="http://schemas.microsoft.com/office/drawing/2014/main" id="{00000000-0008-0000-0900-000061010000}"/>
              </a:ext>
            </a:extLst>
          </xdr:cNvPr>
          <xdr:cNvSpPr txBox="1"/>
        </xdr:nvSpPr>
        <xdr:spPr>
          <a:xfrm>
            <a:off x="11455452" y="4380470"/>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354" name="TextBox 353">
            <a:extLst>
              <a:ext uri="{FF2B5EF4-FFF2-40B4-BE49-F238E27FC236}">
                <a16:creationId xmlns:a16="http://schemas.microsoft.com/office/drawing/2014/main" id="{00000000-0008-0000-0900-000062010000}"/>
              </a:ext>
            </a:extLst>
          </xdr:cNvPr>
          <xdr:cNvSpPr txBox="1"/>
        </xdr:nvSpPr>
        <xdr:spPr>
          <a:xfrm>
            <a:off x="11455452" y="4699979"/>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65408</xdr:colOff>
      <xdr:row>6</xdr:row>
      <xdr:rowOff>78638</xdr:rowOff>
    </xdr:from>
    <xdr:to>
      <xdr:col>5</xdr:col>
      <xdr:colOff>370208</xdr:colOff>
      <xdr:row>27</xdr:row>
      <xdr:rowOff>122294</xdr:rowOff>
    </xdr:to>
    <xdr:grpSp>
      <xdr:nvGrpSpPr>
        <xdr:cNvPr id="29711" name="Group 29710">
          <a:extLst>
            <a:ext uri="{FF2B5EF4-FFF2-40B4-BE49-F238E27FC236}">
              <a16:creationId xmlns:a16="http://schemas.microsoft.com/office/drawing/2014/main" id="{00000000-0008-0000-0900-00000F740000}"/>
            </a:ext>
          </a:extLst>
        </xdr:cNvPr>
        <xdr:cNvGrpSpPr/>
      </xdr:nvGrpSpPr>
      <xdr:grpSpPr>
        <a:xfrm>
          <a:off x="751208" y="1278788"/>
          <a:ext cx="3048000" cy="4244181"/>
          <a:chOff x="11304909" y="1483576"/>
          <a:chExt cx="3067050" cy="4294188"/>
        </a:xfrm>
      </xdr:grpSpPr>
      <xdr:sp macro="" textlink="">
        <xdr:nvSpPr>
          <xdr:cNvPr id="360" name="TextBox 359">
            <a:extLst>
              <a:ext uri="{FF2B5EF4-FFF2-40B4-BE49-F238E27FC236}">
                <a16:creationId xmlns:a16="http://schemas.microsoft.com/office/drawing/2014/main" id="{00000000-0008-0000-0900-000068010000}"/>
              </a:ext>
            </a:extLst>
          </xdr:cNvPr>
          <xdr:cNvSpPr txBox="1"/>
        </xdr:nvSpPr>
        <xdr:spPr>
          <a:xfrm>
            <a:off x="11304909" y="1483576"/>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15.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your products could become a network?</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Imagine your solution becomes smarter the more it‘s used, so that it can adapt to the user‘s needs. Tesla cars learn each time they are driven. They even operate as a network. When one car learns something, they all learn it, helping Tesla to create a better autopilot.</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endParaRPr lang="en-US" sz="1100"/>
          </a:p>
        </xdr:txBody>
      </xdr:sp>
      <xdr:sp macro="" textlink="">
        <xdr:nvSpPr>
          <xdr:cNvPr id="361" name="TextBox 360">
            <a:extLst>
              <a:ext uri="{FF2B5EF4-FFF2-40B4-BE49-F238E27FC236}">
                <a16:creationId xmlns:a16="http://schemas.microsoft.com/office/drawing/2014/main" id="{00000000-0008-0000-0900-000069010000}"/>
              </a:ext>
            </a:extLst>
          </xdr:cNvPr>
          <xdr:cNvSpPr txBox="1"/>
        </xdr:nvSpPr>
        <xdr:spPr>
          <a:xfrm>
            <a:off x="11304909" y="4384709"/>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362" name="TextBox 361">
            <a:extLst>
              <a:ext uri="{FF2B5EF4-FFF2-40B4-BE49-F238E27FC236}">
                <a16:creationId xmlns:a16="http://schemas.microsoft.com/office/drawing/2014/main" id="{00000000-0008-0000-0900-00006A010000}"/>
              </a:ext>
            </a:extLst>
          </xdr:cNvPr>
          <xdr:cNvSpPr txBox="1"/>
        </xdr:nvSpPr>
        <xdr:spPr>
          <a:xfrm>
            <a:off x="11304909" y="4704218"/>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68838</xdr:colOff>
      <xdr:row>6</xdr:row>
      <xdr:rowOff>92651</xdr:rowOff>
    </xdr:from>
    <xdr:to>
      <xdr:col>5</xdr:col>
      <xdr:colOff>373638</xdr:colOff>
      <xdr:row>27</xdr:row>
      <xdr:rowOff>136307</xdr:rowOff>
    </xdr:to>
    <xdr:grpSp>
      <xdr:nvGrpSpPr>
        <xdr:cNvPr id="29710" name="Group 29709">
          <a:extLst>
            <a:ext uri="{FF2B5EF4-FFF2-40B4-BE49-F238E27FC236}">
              <a16:creationId xmlns:a16="http://schemas.microsoft.com/office/drawing/2014/main" id="{00000000-0008-0000-0900-00000E740000}"/>
            </a:ext>
          </a:extLst>
        </xdr:cNvPr>
        <xdr:cNvGrpSpPr/>
      </xdr:nvGrpSpPr>
      <xdr:grpSpPr>
        <a:xfrm>
          <a:off x="754638" y="1292801"/>
          <a:ext cx="3048000" cy="4244181"/>
          <a:chOff x="11022589" y="1318995"/>
          <a:chExt cx="3067050" cy="4294188"/>
        </a:xfrm>
      </xdr:grpSpPr>
      <xdr:sp macro="" textlink="">
        <xdr:nvSpPr>
          <xdr:cNvPr id="364" name="TextBox 363">
            <a:extLst>
              <a:ext uri="{FF2B5EF4-FFF2-40B4-BE49-F238E27FC236}">
                <a16:creationId xmlns:a16="http://schemas.microsoft.com/office/drawing/2014/main" id="{00000000-0008-0000-0900-00006C010000}"/>
              </a:ext>
            </a:extLst>
          </xdr:cNvPr>
          <xdr:cNvSpPr txBox="1"/>
        </xdr:nvSpPr>
        <xdr:spPr>
          <a:xfrm>
            <a:off x="11022589" y="1318995"/>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14.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your products „Learned“ each time a service or product  got used?</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Imagine each time you use your service or product, it gets better and more aligned with your needs as the user. Stich Fix provides hand-selected outfits by a personal stylist. Keep what you like, send back what you don‘t. They learn from your behavior to send you different proposals the next time.</a:t>
            </a:r>
            <a:endParaRPr lang="en-US" sz="1100"/>
          </a:p>
        </xdr:txBody>
      </xdr:sp>
      <xdr:sp macro="" textlink="">
        <xdr:nvSpPr>
          <xdr:cNvPr id="365" name="TextBox 364">
            <a:extLst>
              <a:ext uri="{FF2B5EF4-FFF2-40B4-BE49-F238E27FC236}">
                <a16:creationId xmlns:a16="http://schemas.microsoft.com/office/drawing/2014/main" id="{00000000-0008-0000-0900-00006D010000}"/>
              </a:ext>
            </a:extLst>
          </xdr:cNvPr>
          <xdr:cNvSpPr txBox="1"/>
        </xdr:nvSpPr>
        <xdr:spPr>
          <a:xfrm>
            <a:off x="11022589" y="4220128"/>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366" name="TextBox 365">
            <a:extLst>
              <a:ext uri="{FF2B5EF4-FFF2-40B4-BE49-F238E27FC236}">
                <a16:creationId xmlns:a16="http://schemas.microsoft.com/office/drawing/2014/main" id="{00000000-0008-0000-0900-00006E010000}"/>
              </a:ext>
            </a:extLst>
          </xdr:cNvPr>
          <xdr:cNvSpPr txBox="1"/>
        </xdr:nvSpPr>
        <xdr:spPr>
          <a:xfrm>
            <a:off x="11022589" y="4539637"/>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68837</xdr:colOff>
      <xdr:row>6</xdr:row>
      <xdr:rowOff>92652</xdr:rowOff>
    </xdr:from>
    <xdr:to>
      <xdr:col>5</xdr:col>
      <xdr:colOff>373637</xdr:colOff>
      <xdr:row>27</xdr:row>
      <xdr:rowOff>136308</xdr:rowOff>
    </xdr:to>
    <xdr:grpSp>
      <xdr:nvGrpSpPr>
        <xdr:cNvPr id="29709" name="Group 29708">
          <a:extLst>
            <a:ext uri="{FF2B5EF4-FFF2-40B4-BE49-F238E27FC236}">
              <a16:creationId xmlns:a16="http://schemas.microsoft.com/office/drawing/2014/main" id="{00000000-0008-0000-0900-00000D740000}"/>
            </a:ext>
          </a:extLst>
        </xdr:cNvPr>
        <xdr:cNvGrpSpPr/>
      </xdr:nvGrpSpPr>
      <xdr:grpSpPr>
        <a:xfrm>
          <a:off x="754637" y="1292802"/>
          <a:ext cx="3048000" cy="4244181"/>
          <a:chOff x="11284526" y="1711902"/>
          <a:chExt cx="3067050" cy="4294188"/>
        </a:xfrm>
      </xdr:grpSpPr>
      <xdr:sp macro="" textlink="">
        <xdr:nvSpPr>
          <xdr:cNvPr id="368" name="TextBox 367">
            <a:extLst>
              <a:ext uri="{FF2B5EF4-FFF2-40B4-BE49-F238E27FC236}">
                <a16:creationId xmlns:a16="http://schemas.microsoft.com/office/drawing/2014/main" id="{00000000-0008-0000-0900-000070010000}"/>
              </a:ext>
            </a:extLst>
          </xdr:cNvPr>
          <xdr:cNvSpPr txBox="1"/>
        </xdr:nvSpPr>
        <xdr:spPr>
          <a:xfrm>
            <a:off x="11284526" y="1711902"/>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13.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No staff was required?</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Amazon Go is rolling out unmanned stores, CitizenM hotels have self-service reception desks, new underground metro lines like „The lilac lane“ in Milan have driverless trains. How can you design your service to operate with not humans involved?</a:t>
            </a:r>
            <a:endParaRPr lang="en-US" sz="1100"/>
          </a:p>
        </xdr:txBody>
      </xdr:sp>
      <xdr:sp macro="" textlink="">
        <xdr:nvSpPr>
          <xdr:cNvPr id="369" name="TextBox 368">
            <a:extLst>
              <a:ext uri="{FF2B5EF4-FFF2-40B4-BE49-F238E27FC236}">
                <a16:creationId xmlns:a16="http://schemas.microsoft.com/office/drawing/2014/main" id="{00000000-0008-0000-0900-000071010000}"/>
              </a:ext>
            </a:extLst>
          </xdr:cNvPr>
          <xdr:cNvSpPr txBox="1"/>
        </xdr:nvSpPr>
        <xdr:spPr>
          <a:xfrm>
            <a:off x="11284526" y="4613035"/>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370" name="TextBox 369">
            <a:extLst>
              <a:ext uri="{FF2B5EF4-FFF2-40B4-BE49-F238E27FC236}">
                <a16:creationId xmlns:a16="http://schemas.microsoft.com/office/drawing/2014/main" id="{00000000-0008-0000-0900-000072010000}"/>
              </a:ext>
            </a:extLst>
          </xdr:cNvPr>
          <xdr:cNvSpPr txBox="1"/>
        </xdr:nvSpPr>
        <xdr:spPr>
          <a:xfrm>
            <a:off x="11284526" y="4932544"/>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61170</xdr:colOff>
      <xdr:row>6</xdr:row>
      <xdr:rowOff>96890</xdr:rowOff>
    </xdr:from>
    <xdr:to>
      <xdr:col>5</xdr:col>
      <xdr:colOff>365970</xdr:colOff>
      <xdr:row>27</xdr:row>
      <xdr:rowOff>140546</xdr:rowOff>
    </xdr:to>
    <xdr:grpSp>
      <xdr:nvGrpSpPr>
        <xdr:cNvPr id="29708" name="Group 29707">
          <a:extLst>
            <a:ext uri="{FF2B5EF4-FFF2-40B4-BE49-F238E27FC236}">
              <a16:creationId xmlns:a16="http://schemas.microsoft.com/office/drawing/2014/main" id="{00000000-0008-0000-0900-00000C740000}"/>
            </a:ext>
          </a:extLst>
        </xdr:cNvPr>
        <xdr:cNvGrpSpPr/>
      </xdr:nvGrpSpPr>
      <xdr:grpSpPr>
        <a:xfrm>
          <a:off x="746970" y="1297040"/>
          <a:ext cx="3048000" cy="4244181"/>
          <a:chOff x="11241140" y="1299420"/>
          <a:chExt cx="3067050" cy="4294188"/>
        </a:xfrm>
      </xdr:grpSpPr>
      <xdr:sp macro="" textlink="">
        <xdr:nvSpPr>
          <xdr:cNvPr id="376" name="TextBox 375">
            <a:extLst>
              <a:ext uri="{FF2B5EF4-FFF2-40B4-BE49-F238E27FC236}">
                <a16:creationId xmlns:a16="http://schemas.microsoft.com/office/drawing/2014/main" id="{00000000-0008-0000-0900-000078010000}"/>
              </a:ext>
            </a:extLst>
          </xdr:cNvPr>
          <xdr:cNvSpPr txBox="1"/>
        </xdr:nvSpPr>
        <xdr:spPr>
          <a:xfrm>
            <a:off x="11241140" y="1299420"/>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12.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could use artificial intelligence?</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No business can avoid being disrupted by artificial intelligence. In the insurance industry, Lemonade uses artificial intelligence and chatbots extensively to deliver insurance policies and handle claims. It takes only 90 seconds to get insured and less than 3 minutes to get payed.</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endParaRPr lang="en-US" sz="1100"/>
          </a:p>
        </xdr:txBody>
      </xdr:sp>
      <xdr:sp macro="" textlink="">
        <xdr:nvSpPr>
          <xdr:cNvPr id="377" name="TextBox 376">
            <a:extLst>
              <a:ext uri="{FF2B5EF4-FFF2-40B4-BE49-F238E27FC236}">
                <a16:creationId xmlns:a16="http://schemas.microsoft.com/office/drawing/2014/main" id="{00000000-0008-0000-0900-000079010000}"/>
              </a:ext>
            </a:extLst>
          </xdr:cNvPr>
          <xdr:cNvSpPr txBox="1"/>
        </xdr:nvSpPr>
        <xdr:spPr>
          <a:xfrm>
            <a:off x="11241140" y="4200553"/>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378" name="TextBox 377">
            <a:extLst>
              <a:ext uri="{FF2B5EF4-FFF2-40B4-BE49-F238E27FC236}">
                <a16:creationId xmlns:a16="http://schemas.microsoft.com/office/drawing/2014/main" id="{00000000-0008-0000-0900-00007A010000}"/>
              </a:ext>
            </a:extLst>
          </xdr:cNvPr>
          <xdr:cNvSpPr txBox="1"/>
        </xdr:nvSpPr>
        <xdr:spPr>
          <a:xfrm>
            <a:off x="11241140" y="4520062"/>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65409</xdr:colOff>
      <xdr:row>6</xdr:row>
      <xdr:rowOff>90545</xdr:rowOff>
    </xdr:from>
    <xdr:to>
      <xdr:col>5</xdr:col>
      <xdr:colOff>370209</xdr:colOff>
      <xdr:row>27</xdr:row>
      <xdr:rowOff>134201</xdr:rowOff>
    </xdr:to>
    <xdr:grpSp>
      <xdr:nvGrpSpPr>
        <xdr:cNvPr id="29707" name="Group 29706">
          <a:extLst>
            <a:ext uri="{FF2B5EF4-FFF2-40B4-BE49-F238E27FC236}">
              <a16:creationId xmlns:a16="http://schemas.microsoft.com/office/drawing/2014/main" id="{00000000-0008-0000-0900-00000B740000}"/>
            </a:ext>
          </a:extLst>
        </xdr:cNvPr>
        <xdr:cNvGrpSpPr/>
      </xdr:nvGrpSpPr>
      <xdr:grpSpPr>
        <a:xfrm>
          <a:off x="751209" y="1290695"/>
          <a:ext cx="3048000" cy="4244181"/>
          <a:chOff x="10983440" y="2138419"/>
          <a:chExt cx="3067050" cy="4294188"/>
        </a:xfrm>
      </xdr:grpSpPr>
      <xdr:sp macro="" textlink="">
        <xdr:nvSpPr>
          <xdr:cNvPr id="380" name="TextBox 379">
            <a:extLst>
              <a:ext uri="{FF2B5EF4-FFF2-40B4-BE49-F238E27FC236}">
                <a16:creationId xmlns:a16="http://schemas.microsoft.com/office/drawing/2014/main" id="{00000000-0008-0000-0900-00007C010000}"/>
              </a:ext>
            </a:extLst>
          </xdr:cNvPr>
          <xdr:cNvSpPr txBox="1"/>
        </xdr:nvSpPr>
        <xdr:spPr>
          <a:xfrm>
            <a:off x="10983440" y="2138419"/>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11. WHAT IF</a:t>
            </a:r>
            <a:r>
              <a:rPr lang="en-US" sz="16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used your user‘s DNA to customize your service?</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Imagine ways to use heritage and DNA to help your service or product deliver more personalized offers. Spotify released a new feature that personalizes playlists that reflect the cultural music of users‘ heritage, based on their DNA test provided by the partner Ancestry.</a:t>
            </a:r>
            <a:endParaRPr lang="en-US" sz="1100"/>
          </a:p>
        </xdr:txBody>
      </xdr:sp>
      <xdr:sp macro="" textlink="">
        <xdr:nvSpPr>
          <xdr:cNvPr id="381" name="TextBox 380">
            <a:extLst>
              <a:ext uri="{FF2B5EF4-FFF2-40B4-BE49-F238E27FC236}">
                <a16:creationId xmlns:a16="http://schemas.microsoft.com/office/drawing/2014/main" id="{00000000-0008-0000-0900-00007D010000}"/>
              </a:ext>
            </a:extLst>
          </xdr:cNvPr>
          <xdr:cNvSpPr txBox="1"/>
        </xdr:nvSpPr>
        <xdr:spPr>
          <a:xfrm>
            <a:off x="10983440" y="5039552"/>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382" name="TextBox 381">
            <a:extLst>
              <a:ext uri="{FF2B5EF4-FFF2-40B4-BE49-F238E27FC236}">
                <a16:creationId xmlns:a16="http://schemas.microsoft.com/office/drawing/2014/main" id="{00000000-0008-0000-0900-00007E010000}"/>
              </a:ext>
            </a:extLst>
          </xdr:cNvPr>
          <xdr:cNvSpPr txBox="1"/>
        </xdr:nvSpPr>
        <xdr:spPr>
          <a:xfrm>
            <a:off x="10983440" y="5359061"/>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59064</xdr:colOff>
      <xdr:row>6</xdr:row>
      <xdr:rowOff>94782</xdr:rowOff>
    </xdr:from>
    <xdr:to>
      <xdr:col>5</xdr:col>
      <xdr:colOff>363864</xdr:colOff>
      <xdr:row>27</xdr:row>
      <xdr:rowOff>138438</xdr:rowOff>
    </xdr:to>
    <xdr:grpSp>
      <xdr:nvGrpSpPr>
        <xdr:cNvPr id="29706" name="Group 29705">
          <a:extLst>
            <a:ext uri="{FF2B5EF4-FFF2-40B4-BE49-F238E27FC236}">
              <a16:creationId xmlns:a16="http://schemas.microsoft.com/office/drawing/2014/main" id="{00000000-0008-0000-0900-00000A740000}"/>
            </a:ext>
          </a:extLst>
        </xdr:cNvPr>
        <xdr:cNvGrpSpPr/>
      </xdr:nvGrpSpPr>
      <xdr:grpSpPr>
        <a:xfrm>
          <a:off x="744864" y="1294932"/>
          <a:ext cx="3048000" cy="4244181"/>
          <a:chOff x="11131877" y="1845001"/>
          <a:chExt cx="3067050" cy="4294188"/>
        </a:xfrm>
      </xdr:grpSpPr>
      <xdr:sp macro="" textlink="">
        <xdr:nvSpPr>
          <xdr:cNvPr id="388" name="TextBox 387">
            <a:extLst>
              <a:ext uri="{FF2B5EF4-FFF2-40B4-BE49-F238E27FC236}">
                <a16:creationId xmlns:a16="http://schemas.microsoft.com/office/drawing/2014/main" id="{00000000-0008-0000-0900-000084010000}"/>
              </a:ext>
            </a:extLst>
          </xdr:cNvPr>
          <xdr:cNvSpPr txBox="1"/>
        </xdr:nvSpPr>
        <xdr:spPr>
          <a:xfrm>
            <a:off x="11131877" y="1845001"/>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10.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your customers moved to a new country every week?</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Revolut banking service is fully global: it can be opened online anywhere in the world, accepts payments in every currency, and charges no, or very small, fees regardless of location.</a:t>
            </a:r>
            <a:endParaRPr lang="en-US" sz="1100"/>
          </a:p>
        </xdr:txBody>
      </xdr:sp>
      <xdr:sp macro="" textlink="">
        <xdr:nvSpPr>
          <xdr:cNvPr id="389" name="TextBox 388">
            <a:extLst>
              <a:ext uri="{FF2B5EF4-FFF2-40B4-BE49-F238E27FC236}">
                <a16:creationId xmlns:a16="http://schemas.microsoft.com/office/drawing/2014/main" id="{00000000-0008-0000-0900-000085010000}"/>
              </a:ext>
            </a:extLst>
          </xdr:cNvPr>
          <xdr:cNvSpPr txBox="1"/>
        </xdr:nvSpPr>
        <xdr:spPr>
          <a:xfrm>
            <a:off x="11131877" y="4746134"/>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390" name="TextBox 389">
            <a:extLst>
              <a:ext uri="{FF2B5EF4-FFF2-40B4-BE49-F238E27FC236}">
                <a16:creationId xmlns:a16="http://schemas.microsoft.com/office/drawing/2014/main" id="{00000000-0008-0000-0900-000086010000}"/>
              </a:ext>
            </a:extLst>
          </xdr:cNvPr>
          <xdr:cNvSpPr txBox="1"/>
        </xdr:nvSpPr>
        <xdr:spPr>
          <a:xfrm>
            <a:off x="11131877" y="5065643"/>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65409</xdr:colOff>
      <xdr:row>6</xdr:row>
      <xdr:rowOff>90545</xdr:rowOff>
    </xdr:from>
    <xdr:to>
      <xdr:col>5</xdr:col>
      <xdr:colOff>370209</xdr:colOff>
      <xdr:row>27</xdr:row>
      <xdr:rowOff>134201</xdr:rowOff>
    </xdr:to>
    <xdr:grpSp>
      <xdr:nvGrpSpPr>
        <xdr:cNvPr id="29705" name="Group 29704">
          <a:extLst>
            <a:ext uri="{FF2B5EF4-FFF2-40B4-BE49-F238E27FC236}">
              <a16:creationId xmlns:a16="http://schemas.microsoft.com/office/drawing/2014/main" id="{00000000-0008-0000-0900-000009740000}"/>
            </a:ext>
          </a:extLst>
        </xdr:cNvPr>
        <xdr:cNvGrpSpPr/>
      </xdr:nvGrpSpPr>
      <xdr:grpSpPr>
        <a:xfrm>
          <a:off x="751209" y="1290695"/>
          <a:ext cx="3048000" cy="4244181"/>
          <a:chOff x="11209659" y="1662169"/>
          <a:chExt cx="3067050" cy="4294188"/>
        </a:xfrm>
      </xdr:grpSpPr>
      <xdr:sp macro="" textlink="">
        <xdr:nvSpPr>
          <xdr:cNvPr id="392" name="TextBox 391">
            <a:extLst>
              <a:ext uri="{FF2B5EF4-FFF2-40B4-BE49-F238E27FC236}">
                <a16:creationId xmlns:a16="http://schemas.microsoft.com/office/drawing/2014/main" id="{00000000-0008-0000-0900-000088010000}"/>
              </a:ext>
            </a:extLst>
          </xdr:cNvPr>
          <xdr:cNvSpPr txBox="1"/>
        </xdr:nvSpPr>
        <xdr:spPr>
          <a:xfrm>
            <a:off x="11209659" y="1662169"/>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9. WHAT IF</a:t>
            </a:r>
            <a:r>
              <a:rPr lang="en-US" sz="16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turned the most annoying aspect of buying your product into an experience?</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Nike Korea‘s 2018 Air Max campaign had sneaker fans queue digitally using avatars and a hashtag. Digital agency PostVisual invented the first-ever hashtag queue where fans waited in line on Instagram to win a chance to buy limited edition Nike Air Max.</a:t>
            </a:r>
            <a:endParaRPr lang="en-US" sz="1100"/>
          </a:p>
        </xdr:txBody>
      </xdr:sp>
      <xdr:sp macro="" textlink="">
        <xdr:nvSpPr>
          <xdr:cNvPr id="393" name="TextBox 392">
            <a:extLst>
              <a:ext uri="{FF2B5EF4-FFF2-40B4-BE49-F238E27FC236}">
                <a16:creationId xmlns:a16="http://schemas.microsoft.com/office/drawing/2014/main" id="{00000000-0008-0000-0900-000089010000}"/>
              </a:ext>
            </a:extLst>
          </xdr:cNvPr>
          <xdr:cNvSpPr txBox="1"/>
        </xdr:nvSpPr>
        <xdr:spPr>
          <a:xfrm>
            <a:off x="11209659" y="4563302"/>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394" name="TextBox 393">
            <a:extLst>
              <a:ext uri="{FF2B5EF4-FFF2-40B4-BE49-F238E27FC236}">
                <a16:creationId xmlns:a16="http://schemas.microsoft.com/office/drawing/2014/main" id="{00000000-0008-0000-0900-00008A010000}"/>
              </a:ext>
            </a:extLst>
          </xdr:cNvPr>
          <xdr:cNvSpPr txBox="1"/>
        </xdr:nvSpPr>
        <xdr:spPr>
          <a:xfrm>
            <a:off x="11209659" y="4882811"/>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59063</xdr:colOff>
      <xdr:row>6</xdr:row>
      <xdr:rowOff>94783</xdr:rowOff>
    </xdr:from>
    <xdr:to>
      <xdr:col>5</xdr:col>
      <xdr:colOff>363863</xdr:colOff>
      <xdr:row>27</xdr:row>
      <xdr:rowOff>138439</xdr:rowOff>
    </xdr:to>
    <xdr:grpSp>
      <xdr:nvGrpSpPr>
        <xdr:cNvPr id="29704" name="Group 29703">
          <a:extLst>
            <a:ext uri="{FF2B5EF4-FFF2-40B4-BE49-F238E27FC236}">
              <a16:creationId xmlns:a16="http://schemas.microsoft.com/office/drawing/2014/main" id="{00000000-0008-0000-0900-000008740000}"/>
            </a:ext>
          </a:extLst>
        </xdr:cNvPr>
        <xdr:cNvGrpSpPr/>
      </xdr:nvGrpSpPr>
      <xdr:grpSpPr>
        <a:xfrm>
          <a:off x="744863" y="1294933"/>
          <a:ext cx="3048000" cy="4244181"/>
          <a:chOff x="11441439" y="1737845"/>
          <a:chExt cx="3067050" cy="4294188"/>
        </a:xfrm>
      </xdr:grpSpPr>
      <xdr:sp macro="" textlink="">
        <xdr:nvSpPr>
          <xdr:cNvPr id="396" name="TextBox 395">
            <a:extLst>
              <a:ext uri="{FF2B5EF4-FFF2-40B4-BE49-F238E27FC236}">
                <a16:creationId xmlns:a16="http://schemas.microsoft.com/office/drawing/2014/main" id="{00000000-0008-0000-0900-00008C010000}"/>
              </a:ext>
            </a:extLst>
          </xdr:cNvPr>
          <xdr:cNvSpPr txBox="1"/>
        </xdr:nvSpPr>
        <xdr:spPr>
          <a:xfrm>
            <a:off x="11441439" y="1737845"/>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8. WHAT IF</a:t>
            </a:r>
            <a:r>
              <a:rPr lang="en-US" sz="16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could offer full customization?</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Imagine ways of letting your customers customize their favorite product or service, and producing or delivering that customization cheaply. The Nike iD online store allows users to completely customize the look and feel of their shoes.</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endParaRPr lang="en-US" sz="1100"/>
          </a:p>
        </xdr:txBody>
      </xdr:sp>
      <xdr:sp macro="" textlink="">
        <xdr:nvSpPr>
          <xdr:cNvPr id="397" name="TextBox 396">
            <a:extLst>
              <a:ext uri="{FF2B5EF4-FFF2-40B4-BE49-F238E27FC236}">
                <a16:creationId xmlns:a16="http://schemas.microsoft.com/office/drawing/2014/main" id="{00000000-0008-0000-0900-00008D010000}"/>
              </a:ext>
            </a:extLst>
          </xdr:cNvPr>
          <xdr:cNvSpPr txBox="1"/>
        </xdr:nvSpPr>
        <xdr:spPr>
          <a:xfrm>
            <a:off x="11441439" y="4638978"/>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398" name="TextBox 397">
            <a:extLst>
              <a:ext uri="{FF2B5EF4-FFF2-40B4-BE49-F238E27FC236}">
                <a16:creationId xmlns:a16="http://schemas.microsoft.com/office/drawing/2014/main" id="{00000000-0008-0000-0900-00008E010000}"/>
              </a:ext>
            </a:extLst>
          </xdr:cNvPr>
          <xdr:cNvSpPr txBox="1"/>
        </xdr:nvSpPr>
        <xdr:spPr>
          <a:xfrm>
            <a:off x="11441439" y="4958487"/>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51397</xdr:colOff>
      <xdr:row>6</xdr:row>
      <xdr:rowOff>88437</xdr:rowOff>
    </xdr:from>
    <xdr:to>
      <xdr:col>5</xdr:col>
      <xdr:colOff>356197</xdr:colOff>
      <xdr:row>27</xdr:row>
      <xdr:rowOff>132093</xdr:rowOff>
    </xdr:to>
    <xdr:grpSp>
      <xdr:nvGrpSpPr>
        <xdr:cNvPr id="29703" name="Group 29702">
          <a:extLst>
            <a:ext uri="{FF2B5EF4-FFF2-40B4-BE49-F238E27FC236}">
              <a16:creationId xmlns:a16="http://schemas.microsoft.com/office/drawing/2014/main" id="{00000000-0008-0000-0900-000007740000}"/>
            </a:ext>
          </a:extLst>
        </xdr:cNvPr>
        <xdr:cNvGrpSpPr/>
      </xdr:nvGrpSpPr>
      <xdr:grpSpPr>
        <a:xfrm>
          <a:off x="737197" y="1288587"/>
          <a:ext cx="3048000" cy="4244181"/>
          <a:chOff x="11362334" y="1648156"/>
          <a:chExt cx="3067050" cy="4294188"/>
        </a:xfrm>
      </xdr:grpSpPr>
      <xdr:sp macro="" textlink="">
        <xdr:nvSpPr>
          <xdr:cNvPr id="400" name="TextBox 399">
            <a:extLst>
              <a:ext uri="{FF2B5EF4-FFF2-40B4-BE49-F238E27FC236}">
                <a16:creationId xmlns:a16="http://schemas.microsoft.com/office/drawing/2014/main" id="{00000000-0008-0000-0900-000090010000}"/>
              </a:ext>
            </a:extLst>
          </xdr:cNvPr>
          <xdr:cNvSpPr txBox="1"/>
        </xdr:nvSpPr>
        <xdr:spPr>
          <a:xfrm>
            <a:off x="11362334" y="1648156"/>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7. WHAT IF</a:t>
            </a:r>
            <a:r>
              <a:rPr lang="en-US" sz="16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could reframe your service into bite-size components?</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Duolingo turns the lengthy process of learning a new language into a playful list of small, easy 5-min lessons. They make their service free by using their students to translate bits and parts of articles. Companies like CNN and Buzzfeed pay Duolingo for this service.</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endParaRPr lang="en-US" sz="1100"/>
          </a:p>
        </xdr:txBody>
      </xdr:sp>
      <xdr:sp macro="" textlink="">
        <xdr:nvSpPr>
          <xdr:cNvPr id="401" name="TextBox 400">
            <a:extLst>
              <a:ext uri="{FF2B5EF4-FFF2-40B4-BE49-F238E27FC236}">
                <a16:creationId xmlns:a16="http://schemas.microsoft.com/office/drawing/2014/main" id="{00000000-0008-0000-0900-000091010000}"/>
              </a:ext>
            </a:extLst>
          </xdr:cNvPr>
          <xdr:cNvSpPr txBox="1"/>
        </xdr:nvSpPr>
        <xdr:spPr>
          <a:xfrm>
            <a:off x="11362334" y="4549289"/>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402" name="TextBox 401">
            <a:extLst>
              <a:ext uri="{FF2B5EF4-FFF2-40B4-BE49-F238E27FC236}">
                <a16:creationId xmlns:a16="http://schemas.microsoft.com/office/drawing/2014/main" id="{00000000-0008-0000-0900-000092010000}"/>
              </a:ext>
            </a:extLst>
          </xdr:cNvPr>
          <xdr:cNvSpPr txBox="1"/>
        </xdr:nvSpPr>
        <xdr:spPr>
          <a:xfrm>
            <a:off x="11362334" y="4868798"/>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56957</xdr:colOff>
      <xdr:row>6</xdr:row>
      <xdr:rowOff>80769</xdr:rowOff>
    </xdr:from>
    <xdr:to>
      <xdr:col>5</xdr:col>
      <xdr:colOff>361757</xdr:colOff>
      <xdr:row>27</xdr:row>
      <xdr:rowOff>124425</xdr:rowOff>
    </xdr:to>
    <xdr:grpSp>
      <xdr:nvGrpSpPr>
        <xdr:cNvPr id="29702" name="Group 29701">
          <a:extLst>
            <a:ext uri="{FF2B5EF4-FFF2-40B4-BE49-F238E27FC236}">
              <a16:creationId xmlns:a16="http://schemas.microsoft.com/office/drawing/2014/main" id="{00000000-0008-0000-0900-000006740000}"/>
            </a:ext>
          </a:extLst>
        </xdr:cNvPr>
        <xdr:cNvGrpSpPr/>
      </xdr:nvGrpSpPr>
      <xdr:grpSpPr>
        <a:xfrm>
          <a:off x="742757" y="1280919"/>
          <a:ext cx="3048000" cy="4244181"/>
          <a:chOff x="11236926" y="1807176"/>
          <a:chExt cx="3067050" cy="4294188"/>
        </a:xfrm>
      </xdr:grpSpPr>
      <xdr:sp macro="" textlink="">
        <xdr:nvSpPr>
          <xdr:cNvPr id="404" name="TextBox 403">
            <a:extLst>
              <a:ext uri="{FF2B5EF4-FFF2-40B4-BE49-F238E27FC236}">
                <a16:creationId xmlns:a16="http://schemas.microsoft.com/office/drawing/2014/main" id="{00000000-0008-0000-0900-000094010000}"/>
              </a:ext>
            </a:extLst>
          </xdr:cNvPr>
          <xdr:cNvSpPr txBox="1"/>
        </xdr:nvSpPr>
        <xdr:spPr>
          <a:xfrm>
            <a:off x="11236926" y="1807176"/>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6. WHAT IF</a:t>
            </a:r>
            <a:r>
              <a:rPr lang="en-US" sz="16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used gamification?</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Think of ways to make using your product or service fun for customers. You can add levels, social rankings, perks, awards, missions, and sources. Waze, a „satnav“ traffic measurement system, for example, awards points for every km driven or every report added. These reports are so accurate, many car manufacturers such as Honda are leaving TomTom for Waze.</a:t>
            </a:r>
            <a:endParaRPr lang="en-US" sz="1100"/>
          </a:p>
        </xdr:txBody>
      </xdr:sp>
      <xdr:sp macro="" textlink="">
        <xdr:nvSpPr>
          <xdr:cNvPr id="405" name="TextBox 404">
            <a:extLst>
              <a:ext uri="{FF2B5EF4-FFF2-40B4-BE49-F238E27FC236}">
                <a16:creationId xmlns:a16="http://schemas.microsoft.com/office/drawing/2014/main" id="{00000000-0008-0000-0900-000095010000}"/>
              </a:ext>
            </a:extLst>
          </xdr:cNvPr>
          <xdr:cNvSpPr txBox="1"/>
        </xdr:nvSpPr>
        <xdr:spPr>
          <a:xfrm>
            <a:off x="11236926" y="4708309"/>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406" name="TextBox 405">
            <a:extLst>
              <a:ext uri="{FF2B5EF4-FFF2-40B4-BE49-F238E27FC236}">
                <a16:creationId xmlns:a16="http://schemas.microsoft.com/office/drawing/2014/main" id="{00000000-0008-0000-0900-000096010000}"/>
              </a:ext>
            </a:extLst>
          </xdr:cNvPr>
          <xdr:cNvSpPr txBox="1"/>
        </xdr:nvSpPr>
        <xdr:spPr>
          <a:xfrm>
            <a:off x="11236926" y="5027818"/>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37382</xdr:colOff>
      <xdr:row>6</xdr:row>
      <xdr:rowOff>85007</xdr:rowOff>
    </xdr:from>
    <xdr:to>
      <xdr:col>5</xdr:col>
      <xdr:colOff>342182</xdr:colOff>
      <xdr:row>27</xdr:row>
      <xdr:rowOff>128663</xdr:rowOff>
    </xdr:to>
    <xdr:grpSp>
      <xdr:nvGrpSpPr>
        <xdr:cNvPr id="29701" name="Group 29700">
          <a:extLst>
            <a:ext uri="{FF2B5EF4-FFF2-40B4-BE49-F238E27FC236}">
              <a16:creationId xmlns:a16="http://schemas.microsoft.com/office/drawing/2014/main" id="{00000000-0008-0000-0900-000005740000}"/>
            </a:ext>
          </a:extLst>
        </xdr:cNvPr>
        <xdr:cNvGrpSpPr/>
      </xdr:nvGrpSpPr>
      <xdr:grpSpPr>
        <a:xfrm>
          <a:off x="723182" y="1285157"/>
          <a:ext cx="3048000" cy="4244181"/>
          <a:chOff x="11098288" y="1513757"/>
          <a:chExt cx="3067050" cy="4294188"/>
        </a:xfrm>
      </xdr:grpSpPr>
      <xdr:sp macro="" textlink="">
        <xdr:nvSpPr>
          <xdr:cNvPr id="412" name="TextBox 411">
            <a:extLst>
              <a:ext uri="{FF2B5EF4-FFF2-40B4-BE49-F238E27FC236}">
                <a16:creationId xmlns:a16="http://schemas.microsoft.com/office/drawing/2014/main" id="{00000000-0008-0000-0900-00009C010000}"/>
              </a:ext>
            </a:extLst>
          </xdr:cNvPr>
          <xdr:cNvSpPr txBox="1"/>
        </xdr:nvSpPr>
        <xdr:spPr>
          <a:xfrm>
            <a:off x="11098288" y="1513757"/>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5. WHAT IF</a:t>
            </a:r>
            <a:r>
              <a:rPr lang="en-US" sz="16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everyone lived in urban areas?</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By 2030, 60% of the world population will be living in cities. Imagine services that work best in these crowded hotspots known for traffic jams, apartment blocks and ubiquitous internet. Deliveroo conveniently employs young bikers who can deliver food quickly regardless of car traffic.</a:t>
            </a:r>
            <a:endParaRPr lang="en-US" sz="1100"/>
          </a:p>
        </xdr:txBody>
      </xdr:sp>
      <xdr:sp macro="" textlink="">
        <xdr:nvSpPr>
          <xdr:cNvPr id="413" name="TextBox 412">
            <a:extLst>
              <a:ext uri="{FF2B5EF4-FFF2-40B4-BE49-F238E27FC236}">
                <a16:creationId xmlns:a16="http://schemas.microsoft.com/office/drawing/2014/main" id="{00000000-0008-0000-0900-00009D010000}"/>
              </a:ext>
            </a:extLst>
          </xdr:cNvPr>
          <xdr:cNvSpPr txBox="1"/>
        </xdr:nvSpPr>
        <xdr:spPr>
          <a:xfrm>
            <a:off x="11098288" y="4414890"/>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414" name="TextBox 413">
            <a:extLst>
              <a:ext uri="{FF2B5EF4-FFF2-40B4-BE49-F238E27FC236}">
                <a16:creationId xmlns:a16="http://schemas.microsoft.com/office/drawing/2014/main" id="{00000000-0008-0000-0900-00009E010000}"/>
              </a:ext>
            </a:extLst>
          </xdr:cNvPr>
          <xdr:cNvSpPr txBox="1"/>
        </xdr:nvSpPr>
        <xdr:spPr>
          <a:xfrm>
            <a:off x="11098288" y="4734399"/>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42945</xdr:colOff>
      <xdr:row>6</xdr:row>
      <xdr:rowOff>90568</xdr:rowOff>
    </xdr:from>
    <xdr:to>
      <xdr:col>5</xdr:col>
      <xdr:colOff>347745</xdr:colOff>
      <xdr:row>27</xdr:row>
      <xdr:rowOff>134224</xdr:rowOff>
    </xdr:to>
    <xdr:grpSp>
      <xdr:nvGrpSpPr>
        <xdr:cNvPr id="29700" name="Group 29699">
          <a:extLst>
            <a:ext uri="{FF2B5EF4-FFF2-40B4-BE49-F238E27FC236}">
              <a16:creationId xmlns:a16="http://schemas.microsoft.com/office/drawing/2014/main" id="{00000000-0008-0000-0900-000004740000}"/>
            </a:ext>
          </a:extLst>
        </xdr:cNvPr>
        <xdr:cNvGrpSpPr/>
      </xdr:nvGrpSpPr>
      <xdr:grpSpPr>
        <a:xfrm>
          <a:off x="728745" y="1290718"/>
          <a:ext cx="3048000" cy="4244181"/>
          <a:chOff x="11306256" y="1614568"/>
          <a:chExt cx="3067050" cy="4294188"/>
        </a:xfrm>
      </xdr:grpSpPr>
      <xdr:sp macro="" textlink="">
        <xdr:nvSpPr>
          <xdr:cNvPr id="416" name="TextBox 415">
            <a:extLst>
              <a:ext uri="{FF2B5EF4-FFF2-40B4-BE49-F238E27FC236}">
                <a16:creationId xmlns:a16="http://schemas.microsoft.com/office/drawing/2014/main" id="{00000000-0008-0000-0900-0000A0010000}"/>
              </a:ext>
            </a:extLst>
          </xdr:cNvPr>
          <xdr:cNvSpPr txBox="1"/>
        </xdr:nvSpPr>
        <xdr:spPr>
          <a:xfrm>
            <a:off x="11306256" y="1614568"/>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4. WHAT IF</a:t>
            </a:r>
            <a:r>
              <a:rPr lang="en-US" sz="16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gave your customers something unexpected?</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Go the extra mile: surprise your customers with a present, a nice message or smart packaging. Tomorrowland, a world-famous music festival, delivers its tickets in an artsy box. Their stages feature detailed decors. Even their garbage collectors wear themed outfits.</a:t>
            </a:r>
            <a:endParaRPr lang="en-US" sz="1100"/>
          </a:p>
        </xdr:txBody>
      </xdr:sp>
      <xdr:sp macro="" textlink="">
        <xdr:nvSpPr>
          <xdr:cNvPr id="417" name="TextBox 416">
            <a:extLst>
              <a:ext uri="{FF2B5EF4-FFF2-40B4-BE49-F238E27FC236}">
                <a16:creationId xmlns:a16="http://schemas.microsoft.com/office/drawing/2014/main" id="{00000000-0008-0000-0900-0000A1010000}"/>
              </a:ext>
            </a:extLst>
          </xdr:cNvPr>
          <xdr:cNvSpPr txBox="1"/>
        </xdr:nvSpPr>
        <xdr:spPr>
          <a:xfrm>
            <a:off x="11306256" y="4515701"/>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418" name="TextBox 417">
            <a:extLst>
              <a:ext uri="{FF2B5EF4-FFF2-40B4-BE49-F238E27FC236}">
                <a16:creationId xmlns:a16="http://schemas.microsoft.com/office/drawing/2014/main" id="{00000000-0008-0000-0900-0000A2010000}"/>
              </a:ext>
            </a:extLst>
          </xdr:cNvPr>
          <xdr:cNvSpPr txBox="1"/>
        </xdr:nvSpPr>
        <xdr:spPr>
          <a:xfrm>
            <a:off x="11306256" y="4835210"/>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48505</xdr:colOff>
      <xdr:row>6</xdr:row>
      <xdr:rowOff>84224</xdr:rowOff>
    </xdr:from>
    <xdr:to>
      <xdr:col>5</xdr:col>
      <xdr:colOff>353305</xdr:colOff>
      <xdr:row>27</xdr:row>
      <xdr:rowOff>127880</xdr:rowOff>
    </xdr:to>
    <xdr:grpSp>
      <xdr:nvGrpSpPr>
        <xdr:cNvPr id="29699" name="Group 29698">
          <a:extLst>
            <a:ext uri="{FF2B5EF4-FFF2-40B4-BE49-F238E27FC236}">
              <a16:creationId xmlns:a16="http://schemas.microsoft.com/office/drawing/2014/main" id="{00000000-0008-0000-0900-000003740000}"/>
            </a:ext>
          </a:extLst>
        </xdr:cNvPr>
        <xdr:cNvGrpSpPr/>
      </xdr:nvGrpSpPr>
      <xdr:grpSpPr>
        <a:xfrm>
          <a:off x="734305" y="1284374"/>
          <a:ext cx="3048000" cy="4244181"/>
          <a:chOff x="10597442" y="1691567"/>
          <a:chExt cx="3067050" cy="4294188"/>
        </a:xfrm>
      </xdr:grpSpPr>
      <xdr:sp macro="" textlink="">
        <xdr:nvSpPr>
          <xdr:cNvPr id="424" name="TextBox 423">
            <a:extLst>
              <a:ext uri="{FF2B5EF4-FFF2-40B4-BE49-F238E27FC236}">
                <a16:creationId xmlns:a16="http://schemas.microsoft.com/office/drawing/2014/main" id="{00000000-0008-0000-0900-0000A8010000}"/>
              </a:ext>
            </a:extLst>
          </xdr:cNvPr>
          <xdr:cNvSpPr txBox="1"/>
        </xdr:nvSpPr>
        <xdr:spPr>
          <a:xfrm>
            <a:off x="10597442" y="1691567"/>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3. WHAT IF</a:t>
            </a:r>
            <a:r>
              <a:rPr lang="en-US" sz="16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could predict customer behavior?</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Think of ways to quickly answer customers‘ needs by predicting them. Amazon patented a system for predictive logistics: based on buying trends, your searches, and regional data, they send products to warehouses close to you, even before you buy them.</a:t>
            </a:r>
            <a:endParaRPr lang="en-US" sz="1100"/>
          </a:p>
        </xdr:txBody>
      </xdr:sp>
      <xdr:sp macro="" textlink="">
        <xdr:nvSpPr>
          <xdr:cNvPr id="425" name="TextBox 424">
            <a:extLst>
              <a:ext uri="{FF2B5EF4-FFF2-40B4-BE49-F238E27FC236}">
                <a16:creationId xmlns:a16="http://schemas.microsoft.com/office/drawing/2014/main" id="{00000000-0008-0000-0900-0000A9010000}"/>
              </a:ext>
            </a:extLst>
          </xdr:cNvPr>
          <xdr:cNvSpPr txBox="1"/>
        </xdr:nvSpPr>
        <xdr:spPr>
          <a:xfrm>
            <a:off x="10597442" y="4592700"/>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426" name="TextBox 425">
            <a:extLst>
              <a:ext uri="{FF2B5EF4-FFF2-40B4-BE49-F238E27FC236}">
                <a16:creationId xmlns:a16="http://schemas.microsoft.com/office/drawing/2014/main" id="{00000000-0008-0000-0900-0000AA010000}"/>
              </a:ext>
            </a:extLst>
          </xdr:cNvPr>
          <xdr:cNvSpPr txBox="1"/>
        </xdr:nvSpPr>
        <xdr:spPr>
          <a:xfrm>
            <a:off x="10597442" y="4912209"/>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52741</xdr:colOff>
      <xdr:row>6</xdr:row>
      <xdr:rowOff>88463</xdr:rowOff>
    </xdr:from>
    <xdr:to>
      <xdr:col>5</xdr:col>
      <xdr:colOff>357541</xdr:colOff>
      <xdr:row>27</xdr:row>
      <xdr:rowOff>132119</xdr:rowOff>
    </xdr:to>
    <xdr:grpSp>
      <xdr:nvGrpSpPr>
        <xdr:cNvPr id="29698" name="Group 29697">
          <a:extLst>
            <a:ext uri="{FF2B5EF4-FFF2-40B4-BE49-F238E27FC236}">
              <a16:creationId xmlns:a16="http://schemas.microsoft.com/office/drawing/2014/main" id="{00000000-0008-0000-0900-000002740000}"/>
            </a:ext>
          </a:extLst>
        </xdr:cNvPr>
        <xdr:cNvGrpSpPr/>
      </xdr:nvGrpSpPr>
      <xdr:grpSpPr>
        <a:xfrm>
          <a:off x="738541" y="1288613"/>
          <a:ext cx="3048000" cy="4244181"/>
          <a:chOff x="11851836" y="1731525"/>
          <a:chExt cx="3067050" cy="4294188"/>
        </a:xfrm>
      </xdr:grpSpPr>
      <xdr:sp macro="" textlink="">
        <xdr:nvSpPr>
          <xdr:cNvPr id="432" name="TextBox 431">
            <a:extLst>
              <a:ext uri="{FF2B5EF4-FFF2-40B4-BE49-F238E27FC236}">
                <a16:creationId xmlns:a16="http://schemas.microsoft.com/office/drawing/2014/main" id="{00000000-0008-0000-0900-0000B0010000}"/>
              </a:ext>
            </a:extLst>
          </xdr:cNvPr>
          <xdr:cNvSpPr txBox="1"/>
        </xdr:nvSpPr>
        <xdr:spPr>
          <a:xfrm>
            <a:off x="11851836" y="1731525"/>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2. WHAT IF</a:t>
            </a:r>
            <a:r>
              <a:rPr lang="en-US" sz="16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your product is so simple, a child could use it?</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pPr marL="0" marR="0">
              <a:lnSpc>
                <a:spcPct val="120000"/>
              </a:lnSpc>
              <a:spcBef>
                <a:spcPts val="0"/>
              </a:spcBef>
              <a:spcAft>
                <a:spcPts val="0"/>
              </a:spcAft>
            </a:pPr>
            <a:r>
              <a:rPr lang="en-US" sz="1100">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Imagine a way to change your product or service so that it doesn‘t need any explanation. Interfaces like the ones seen on Android and iOS are largely self-explanatory, and help every user find what they‘re looking for.</a:t>
            </a:r>
            <a:endParaRPr lang="en-US" sz="1100"/>
          </a:p>
        </xdr:txBody>
      </xdr:sp>
      <xdr:sp macro="" textlink="">
        <xdr:nvSpPr>
          <xdr:cNvPr id="433" name="TextBox 432">
            <a:extLst>
              <a:ext uri="{FF2B5EF4-FFF2-40B4-BE49-F238E27FC236}">
                <a16:creationId xmlns:a16="http://schemas.microsoft.com/office/drawing/2014/main" id="{00000000-0008-0000-0900-0000B1010000}"/>
              </a:ext>
            </a:extLst>
          </xdr:cNvPr>
          <xdr:cNvSpPr txBox="1"/>
        </xdr:nvSpPr>
        <xdr:spPr>
          <a:xfrm>
            <a:off x="11851836" y="4632658"/>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434" name="TextBox 433">
            <a:extLst>
              <a:ext uri="{FF2B5EF4-FFF2-40B4-BE49-F238E27FC236}">
                <a16:creationId xmlns:a16="http://schemas.microsoft.com/office/drawing/2014/main" id="{00000000-0008-0000-0900-0000B2010000}"/>
              </a:ext>
            </a:extLst>
          </xdr:cNvPr>
          <xdr:cNvSpPr txBox="1"/>
        </xdr:nvSpPr>
        <xdr:spPr>
          <a:xfrm>
            <a:off x="11851836" y="4952167"/>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1</xdr:col>
      <xdr:colOff>72115</xdr:colOff>
      <xdr:row>6</xdr:row>
      <xdr:rowOff>92338</xdr:rowOff>
    </xdr:from>
    <xdr:to>
      <xdr:col>5</xdr:col>
      <xdr:colOff>376915</xdr:colOff>
      <xdr:row>27</xdr:row>
      <xdr:rowOff>137897</xdr:rowOff>
    </xdr:to>
    <xdr:grpSp>
      <xdr:nvGrpSpPr>
        <xdr:cNvPr id="29696" name="Group 29695">
          <a:extLst>
            <a:ext uri="{FF2B5EF4-FFF2-40B4-BE49-F238E27FC236}">
              <a16:creationId xmlns:a16="http://schemas.microsoft.com/office/drawing/2014/main" id="{00000000-0008-0000-0900-000000740000}"/>
            </a:ext>
          </a:extLst>
        </xdr:cNvPr>
        <xdr:cNvGrpSpPr/>
      </xdr:nvGrpSpPr>
      <xdr:grpSpPr>
        <a:xfrm>
          <a:off x="757915" y="1292488"/>
          <a:ext cx="3048000" cy="4246084"/>
          <a:chOff x="7511617" y="1664325"/>
          <a:chExt cx="3067050" cy="4294187"/>
        </a:xfrm>
      </xdr:grpSpPr>
      <xdr:sp macro="" textlink="">
        <xdr:nvSpPr>
          <xdr:cNvPr id="440" name="TextBox 439">
            <a:extLst>
              <a:ext uri="{FF2B5EF4-FFF2-40B4-BE49-F238E27FC236}">
                <a16:creationId xmlns:a16="http://schemas.microsoft.com/office/drawing/2014/main" id="{00000000-0008-0000-0900-0000B8010000}"/>
              </a:ext>
            </a:extLst>
          </xdr:cNvPr>
          <xdr:cNvSpPr txBox="1"/>
        </xdr:nvSpPr>
        <xdr:spPr>
          <a:xfrm>
            <a:off x="7511617" y="1664325"/>
            <a:ext cx="3067050" cy="428141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20000"/>
              </a:lnSpc>
              <a:spcBef>
                <a:spcPts val="0"/>
              </a:spcBef>
              <a:spcAft>
                <a:spcPts val="0"/>
              </a:spcAft>
            </a:pPr>
            <a:r>
              <a:rPr lang="en-US" sz="16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1. WHAT IF	</a:t>
            </a:r>
            <a:r>
              <a:rPr lang="en-US" sz="1600" b="1">
                <a:solidFill>
                  <a:srgbClr val="000000"/>
                </a:solidFill>
                <a:effectLst/>
                <a:latin typeface="Arial Narrow" panose="020B0606020202030204" pitchFamily="34" charset="0"/>
                <a:ea typeface="Calibri" panose="020F0502020204030204" pitchFamily="34" charset="0"/>
                <a:cs typeface="Arial Narrow" panose="020B0606020202030204" pitchFamily="34" charset="0"/>
              </a:rPr>
              <a:t>you could increase inclusion?</a:t>
            </a:r>
            <a:endParaRPr lang="en-US" sz="18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endParaRPr>
          </a:p>
          <a:p>
            <a:pPr marL="0" marR="0">
              <a:lnSpc>
                <a:spcPct val="120000"/>
              </a:lnSpc>
              <a:spcBef>
                <a:spcPts val="0"/>
              </a:spcBef>
              <a:spcAft>
                <a:spcPts val="0"/>
              </a:spcAft>
            </a:pPr>
            <a:r>
              <a:rPr lang="en-US" sz="11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rPr>
              <a:t> </a:t>
            </a:r>
            <a:endParaRPr lang="en-US" sz="1800" b="1">
              <a:solidFill>
                <a:srgbClr val="E5007D"/>
              </a:solidFill>
              <a:effectLst/>
              <a:latin typeface="Arial Narrow" panose="020B0606020202030204" pitchFamily="34" charset="0"/>
              <a:ea typeface="Calibri" panose="020F0502020204030204" pitchFamily="34" charset="0"/>
              <a:cs typeface="Arial Narrow" panose="020B0606020202030204" pitchFamily="34" charset="0"/>
            </a:endParaRPr>
          </a:p>
          <a:p>
            <a:r>
              <a:rPr lang="en-US" sz="1100">
                <a:effectLst/>
                <a:latin typeface="Calibri" panose="020F0502020204030204" pitchFamily="34" charset="0"/>
                <a:ea typeface="Calibri" panose="020F0502020204030204" pitchFamily="34" charset="0"/>
                <a:cs typeface="Arial Narrow" panose="020B0606020202030204" pitchFamily="34" charset="0"/>
              </a:rPr>
              <a:t>Imagine ways you can address disadvantaged groups, and tailor your products and services to reduce the gap. Think of targeted discounts, or ad-hoc features. For example, Disney developed „Feeling Fireworks“, a tactile experience that gives the perception of fireworks for the visually impaired.</a:t>
            </a:r>
            <a:endParaRPr lang="en-US" sz="1100"/>
          </a:p>
        </xdr:txBody>
      </xdr:sp>
      <xdr:sp macro="" textlink="">
        <xdr:nvSpPr>
          <xdr:cNvPr id="441" name="TextBox 440">
            <a:extLst>
              <a:ext uri="{FF2B5EF4-FFF2-40B4-BE49-F238E27FC236}">
                <a16:creationId xmlns:a16="http://schemas.microsoft.com/office/drawing/2014/main" id="{00000000-0008-0000-0900-0000B9010000}"/>
              </a:ext>
            </a:extLst>
          </xdr:cNvPr>
          <xdr:cNvSpPr txBox="1"/>
        </xdr:nvSpPr>
        <xdr:spPr>
          <a:xfrm>
            <a:off x="7511617" y="4565457"/>
            <a:ext cx="3067049" cy="3195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Your Idea:</a:t>
            </a:r>
          </a:p>
        </xdr:txBody>
      </xdr:sp>
      <xdr:sp macro="" textlink="" fLocksText="0">
        <xdr:nvSpPr>
          <xdr:cNvPr id="442" name="TextBox 441">
            <a:extLst>
              <a:ext uri="{FF2B5EF4-FFF2-40B4-BE49-F238E27FC236}">
                <a16:creationId xmlns:a16="http://schemas.microsoft.com/office/drawing/2014/main" id="{00000000-0008-0000-0900-0000BA010000}"/>
              </a:ext>
            </a:extLst>
          </xdr:cNvPr>
          <xdr:cNvSpPr txBox="1"/>
        </xdr:nvSpPr>
        <xdr:spPr>
          <a:xfrm>
            <a:off x="7511617" y="4884966"/>
            <a:ext cx="3067050" cy="1073546"/>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grpSp>
    <xdr:clientData fLocksWithSheet="0"/>
  </xdr:twoCellAnchor>
  <xdr:twoCellAnchor>
    <xdr:from>
      <xdr:col>5</xdr:col>
      <xdr:colOff>592667</xdr:colOff>
      <xdr:row>13</xdr:row>
      <xdr:rowOff>137583</xdr:rowOff>
    </xdr:from>
    <xdr:to>
      <xdr:col>7</xdr:col>
      <xdr:colOff>582083</xdr:colOff>
      <xdr:row>18</xdr:row>
      <xdr:rowOff>31749</xdr:rowOff>
    </xdr:to>
    <xdr:sp macro="" textlink="">
      <xdr:nvSpPr>
        <xdr:cNvPr id="50" name="Arrow: Right 49">
          <a:extLst>
            <a:ext uri="{FF2B5EF4-FFF2-40B4-BE49-F238E27FC236}">
              <a16:creationId xmlns:a16="http://schemas.microsoft.com/office/drawing/2014/main" id="{00000000-0008-0000-0900-000032000000}"/>
            </a:ext>
          </a:extLst>
        </xdr:cNvPr>
        <xdr:cNvSpPr/>
      </xdr:nvSpPr>
      <xdr:spPr>
        <a:xfrm>
          <a:off x="4032250" y="2751666"/>
          <a:ext cx="1365250" cy="899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308882</xdr:colOff>
      <xdr:row>25</xdr:row>
      <xdr:rowOff>35378</xdr:rowOff>
    </xdr:from>
    <xdr:to>
      <xdr:col>5</xdr:col>
      <xdr:colOff>500743</xdr:colOff>
      <xdr:row>30</xdr:row>
      <xdr:rowOff>140153</xdr:rowOff>
    </xdr:to>
    <xdr:pic>
      <xdr:nvPicPr>
        <xdr:cNvPr id="2" name="Picture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9025" y="4811485"/>
          <a:ext cx="1021897"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238125</xdr:colOff>
      <xdr:row>24</xdr:row>
      <xdr:rowOff>47625</xdr:rowOff>
    </xdr:from>
    <xdr:to>
      <xdr:col>17</xdr:col>
      <xdr:colOff>542925</xdr:colOff>
      <xdr:row>30</xdr:row>
      <xdr:rowOff>85725</xdr:rowOff>
    </xdr:to>
    <xdr:pic>
      <xdr:nvPicPr>
        <xdr:cNvPr id="3" name="Picture 3">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49325" y="4638675"/>
          <a:ext cx="11430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483658</xdr:colOff>
      <xdr:row>24</xdr:row>
      <xdr:rowOff>118534</xdr:rowOff>
    </xdr:from>
    <xdr:to>
      <xdr:col>12</xdr:col>
      <xdr:colOff>338714</xdr:colOff>
      <xdr:row>31</xdr:row>
      <xdr:rowOff>162899</xdr:rowOff>
    </xdr:to>
    <xdr:sp macro="" textlink="">
      <xdr:nvSpPr>
        <xdr:cNvPr id="4" name="Left-Right Arrow 4">
          <a:extLst>
            <a:ext uri="{FF2B5EF4-FFF2-40B4-BE49-F238E27FC236}">
              <a16:creationId xmlns:a16="http://schemas.microsoft.com/office/drawing/2014/main" id="{00000000-0008-0000-0600-000004000000}"/>
            </a:ext>
          </a:extLst>
        </xdr:cNvPr>
        <xdr:cNvSpPr/>
      </xdr:nvSpPr>
      <xdr:spPr>
        <a:xfrm>
          <a:off x="7941733" y="4690534"/>
          <a:ext cx="2341081" cy="1377865"/>
        </a:xfrm>
        <a:prstGeom prst="leftRightArrow">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666750</xdr:colOff>
      <xdr:row>1</xdr:row>
      <xdr:rowOff>0</xdr:rowOff>
    </xdr:from>
    <xdr:to>
      <xdr:col>6</xdr:col>
      <xdr:colOff>19050</xdr:colOff>
      <xdr:row>4</xdr:row>
      <xdr:rowOff>1390650</xdr:rowOff>
    </xdr:to>
    <xdr:sp macro="" textlink="">
      <xdr:nvSpPr>
        <xdr:cNvPr id="6" name="Rectangle 5">
          <a:extLst>
            <a:ext uri="{FF2B5EF4-FFF2-40B4-BE49-F238E27FC236}">
              <a16:creationId xmlns:a16="http://schemas.microsoft.com/office/drawing/2014/main" id="{00000000-0008-0000-0A00-000006000000}"/>
            </a:ext>
          </a:extLst>
        </xdr:cNvPr>
        <xdr:cNvSpPr/>
      </xdr:nvSpPr>
      <xdr:spPr>
        <a:xfrm>
          <a:off x="7800975" y="200025"/>
          <a:ext cx="2781300" cy="3209925"/>
        </a:xfrm>
        <a:prstGeom prst="rect">
          <a:avLst/>
        </a:prstGeom>
        <a:noFill/>
        <a:ln w="444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666750</xdr:colOff>
      <xdr:row>2</xdr:row>
      <xdr:rowOff>158750</xdr:rowOff>
    </xdr:from>
    <xdr:to>
      <xdr:col>8</xdr:col>
      <xdr:colOff>1</xdr:colOff>
      <xdr:row>6</xdr:row>
      <xdr:rowOff>0</xdr:rowOff>
    </xdr:to>
    <xdr:sp macro="" textlink="">
      <xdr:nvSpPr>
        <xdr:cNvPr id="8" name="Rectangle 7">
          <a:extLst>
            <a:ext uri="{FF2B5EF4-FFF2-40B4-BE49-F238E27FC236}">
              <a16:creationId xmlns:a16="http://schemas.microsoft.com/office/drawing/2014/main" id="{00000000-0008-0000-0B00-000008000000}"/>
            </a:ext>
          </a:extLst>
        </xdr:cNvPr>
        <xdr:cNvSpPr/>
      </xdr:nvSpPr>
      <xdr:spPr>
        <a:xfrm>
          <a:off x="7802563" y="1087438"/>
          <a:ext cx="4111626" cy="1309687"/>
        </a:xfrm>
        <a:prstGeom prst="rect">
          <a:avLst/>
        </a:prstGeom>
        <a:noFill/>
        <a:ln w="444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2738437</xdr:colOff>
      <xdr:row>1</xdr:row>
      <xdr:rowOff>269875</xdr:rowOff>
    </xdr:from>
    <xdr:to>
      <xdr:col>1</xdr:col>
      <xdr:colOff>539749</xdr:colOff>
      <xdr:row>1</xdr:row>
      <xdr:rowOff>468757</xdr:rowOff>
    </xdr:to>
    <xdr:sp macro="" textlink="">
      <xdr:nvSpPr>
        <xdr:cNvPr id="2" name="Arrow: Right 1">
          <a:extLst>
            <a:ext uri="{FF2B5EF4-FFF2-40B4-BE49-F238E27FC236}">
              <a16:creationId xmlns:a16="http://schemas.microsoft.com/office/drawing/2014/main" id="{D146B7C7-FDF2-4D0A-AA62-57F99D325B8A}"/>
            </a:ext>
          </a:extLst>
        </xdr:cNvPr>
        <xdr:cNvSpPr/>
      </xdr:nvSpPr>
      <xdr:spPr>
        <a:xfrm>
          <a:off x="2738437" y="468313"/>
          <a:ext cx="4937125" cy="1988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029"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674078</xdr:colOff>
      <xdr:row>1</xdr:row>
      <xdr:rowOff>10990</xdr:rowOff>
    </xdr:from>
    <xdr:to>
      <xdr:col>8</xdr:col>
      <xdr:colOff>14655</xdr:colOff>
      <xdr:row>3</xdr:row>
      <xdr:rowOff>175846</xdr:rowOff>
    </xdr:to>
    <xdr:sp macro="" textlink="">
      <xdr:nvSpPr>
        <xdr:cNvPr id="7" name="Rectangle 6">
          <a:extLst>
            <a:ext uri="{FF2B5EF4-FFF2-40B4-BE49-F238E27FC236}">
              <a16:creationId xmlns:a16="http://schemas.microsoft.com/office/drawing/2014/main" id="{00000000-0008-0000-0F00-000007000000}"/>
            </a:ext>
          </a:extLst>
        </xdr:cNvPr>
        <xdr:cNvSpPr/>
      </xdr:nvSpPr>
      <xdr:spPr>
        <a:xfrm>
          <a:off x="7781193" y="208817"/>
          <a:ext cx="4330212" cy="1124683"/>
        </a:xfrm>
        <a:prstGeom prst="rect">
          <a:avLst/>
        </a:prstGeom>
        <a:noFill/>
        <a:ln w="444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676274</xdr:colOff>
      <xdr:row>22</xdr:row>
      <xdr:rowOff>1</xdr:rowOff>
    </xdr:from>
    <xdr:to>
      <xdr:col>8</xdr:col>
      <xdr:colOff>666749</xdr:colOff>
      <xdr:row>31</xdr:row>
      <xdr:rowOff>3</xdr:rowOff>
    </xdr:to>
    <xdr:sp macro="" textlink="">
      <xdr:nvSpPr>
        <xdr:cNvPr id="12" name="Isosceles Triangle 11">
          <a:extLst>
            <a:ext uri="{FF2B5EF4-FFF2-40B4-BE49-F238E27FC236}">
              <a16:creationId xmlns:a16="http://schemas.microsoft.com/office/drawing/2014/main" id="{00000000-0008-0000-0200-00000C000000}"/>
            </a:ext>
          </a:extLst>
        </xdr:cNvPr>
        <xdr:cNvSpPr/>
      </xdr:nvSpPr>
      <xdr:spPr>
        <a:xfrm rot="5400000">
          <a:off x="4595811" y="6338889"/>
          <a:ext cx="3695702" cy="676275"/>
        </a:xfrm>
        <a:prstGeom prst="triangle">
          <a:avLst>
            <a:gd name="adj" fmla="val 452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19050</xdr:colOff>
      <xdr:row>26</xdr:row>
      <xdr:rowOff>123822</xdr:rowOff>
    </xdr:from>
    <xdr:to>
      <xdr:col>16</xdr:col>
      <xdr:colOff>781050</xdr:colOff>
      <xdr:row>26</xdr:row>
      <xdr:rowOff>608454</xdr:rowOff>
    </xdr:to>
    <xdr:sp macro="" textlink="">
      <xdr:nvSpPr>
        <xdr:cNvPr id="13" name="Arrow: Right 12">
          <a:extLst>
            <a:ext uri="{FF2B5EF4-FFF2-40B4-BE49-F238E27FC236}">
              <a16:creationId xmlns:a16="http://schemas.microsoft.com/office/drawing/2014/main" id="{00000000-0008-0000-0200-00000D000000}"/>
            </a:ext>
          </a:extLst>
        </xdr:cNvPr>
        <xdr:cNvSpPr/>
      </xdr:nvSpPr>
      <xdr:spPr>
        <a:xfrm>
          <a:off x="11078633" y="6135155"/>
          <a:ext cx="762000"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424425</xdr:colOff>
      <xdr:row>27</xdr:row>
      <xdr:rowOff>62399</xdr:rowOff>
    </xdr:from>
    <xdr:to>
      <xdr:col>24</xdr:col>
      <xdr:colOff>221140</xdr:colOff>
      <xdr:row>28</xdr:row>
      <xdr:rowOff>623316</xdr:rowOff>
    </xdr:to>
    <xdr:sp macro="" textlink="">
      <xdr:nvSpPr>
        <xdr:cNvPr id="15" name="Arrow: Right 14">
          <a:extLst>
            <a:ext uri="{FF2B5EF4-FFF2-40B4-BE49-F238E27FC236}">
              <a16:creationId xmlns:a16="http://schemas.microsoft.com/office/drawing/2014/main" id="{00000000-0008-0000-0200-00000F000000}"/>
            </a:ext>
          </a:extLst>
        </xdr:cNvPr>
        <xdr:cNvSpPr/>
      </xdr:nvSpPr>
      <xdr:spPr>
        <a:xfrm rot="5400000">
          <a:off x="15970241" y="6350000"/>
          <a:ext cx="762000"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676274</xdr:colOff>
      <xdr:row>38</xdr:row>
      <xdr:rowOff>1</xdr:rowOff>
    </xdr:from>
    <xdr:to>
      <xdr:col>8</xdr:col>
      <xdr:colOff>666749</xdr:colOff>
      <xdr:row>47</xdr:row>
      <xdr:rowOff>3</xdr:rowOff>
    </xdr:to>
    <xdr:sp macro="" textlink="">
      <xdr:nvSpPr>
        <xdr:cNvPr id="16" name="Isosceles Triangle 15">
          <a:extLst>
            <a:ext uri="{FF2B5EF4-FFF2-40B4-BE49-F238E27FC236}">
              <a16:creationId xmlns:a16="http://schemas.microsoft.com/office/drawing/2014/main" id="{00000000-0008-0000-0200-000010000000}"/>
            </a:ext>
          </a:extLst>
        </xdr:cNvPr>
        <xdr:cNvSpPr/>
      </xdr:nvSpPr>
      <xdr:spPr>
        <a:xfrm rot="5400000">
          <a:off x="4619623" y="11753852"/>
          <a:ext cx="3648077" cy="676275"/>
        </a:xfrm>
        <a:prstGeom prst="triangle">
          <a:avLst>
            <a:gd name="adj" fmla="val 4634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19050</xdr:colOff>
      <xdr:row>42</xdr:row>
      <xdr:rowOff>28575</xdr:rowOff>
    </xdr:from>
    <xdr:to>
      <xdr:col>16</xdr:col>
      <xdr:colOff>781050</xdr:colOff>
      <xdr:row>42</xdr:row>
      <xdr:rowOff>513207</xdr:rowOff>
    </xdr:to>
    <xdr:sp macro="" textlink="">
      <xdr:nvSpPr>
        <xdr:cNvPr id="17" name="Arrow: Right 16">
          <a:extLst>
            <a:ext uri="{FF2B5EF4-FFF2-40B4-BE49-F238E27FC236}">
              <a16:creationId xmlns:a16="http://schemas.microsoft.com/office/drawing/2014/main" id="{00000000-0008-0000-0200-000011000000}"/>
            </a:ext>
          </a:extLst>
        </xdr:cNvPr>
        <xdr:cNvSpPr/>
      </xdr:nvSpPr>
      <xdr:spPr>
        <a:xfrm>
          <a:off x="11078633" y="5807075"/>
          <a:ext cx="762000"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424425</xdr:colOff>
      <xdr:row>43</xdr:row>
      <xdr:rowOff>62399</xdr:rowOff>
    </xdr:from>
    <xdr:to>
      <xdr:col>24</xdr:col>
      <xdr:colOff>221140</xdr:colOff>
      <xdr:row>44</xdr:row>
      <xdr:rowOff>623316</xdr:rowOff>
    </xdr:to>
    <xdr:sp macro="" textlink="">
      <xdr:nvSpPr>
        <xdr:cNvPr id="18" name="Arrow: Right 17">
          <a:extLst>
            <a:ext uri="{FF2B5EF4-FFF2-40B4-BE49-F238E27FC236}">
              <a16:creationId xmlns:a16="http://schemas.microsoft.com/office/drawing/2014/main" id="{00000000-0008-0000-0200-000012000000}"/>
            </a:ext>
          </a:extLst>
        </xdr:cNvPr>
        <xdr:cNvSpPr/>
      </xdr:nvSpPr>
      <xdr:spPr>
        <a:xfrm rot="5400000">
          <a:off x="15546907" y="6752167"/>
          <a:ext cx="762001" cy="4846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676274</xdr:colOff>
      <xdr:row>54</xdr:row>
      <xdr:rowOff>1</xdr:rowOff>
    </xdr:from>
    <xdr:to>
      <xdr:col>8</xdr:col>
      <xdr:colOff>666749</xdr:colOff>
      <xdr:row>63</xdr:row>
      <xdr:rowOff>3</xdr:rowOff>
    </xdr:to>
    <xdr:sp macro="" textlink="">
      <xdr:nvSpPr>
        <xdr:cNvPr id="19" name="Isosceles Triangle 18">
          <a:extLst>
            <a:ext uri="{FF2B5EF4-FFF2-40B4-BE49-F238E27FC236}">
              <a16:creationId xmlns:a16="http://schemas.microsoft.com/office/drawing/2014/main" id="{00000000-0008-0000-0200-000013000000}"/>
            </a:ext>
          </a:extLst>
        </xdr:cNvPr>
        <xdr:cNvSpPr/>
      </xdr:nvSpPr>
      <xdr:spPr>
        <a:xfrm rot="5400000">
          <a:off x="4462461" y="17349789"/>
          <a:ext cx="3962402" cy="676275"/>
        </a:xfrm>
        <a:prstGeom prst="triangle">
          <a:avLst>
            <a:gd name="adj" fmla="val 422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19050</xdr:colOff>
      <xdr:row>58</xdr:row>
      <xdr:rowOff>28575</xdr:rowOff>
    </xdr:from>
    <xdr:to>
      <xdr:col>16</xdr:col>
      <xdr:colOff>781050</xdr:colOff>
      <xdr:row>58</xdr:row>
      <xdr:rowOff>513207</xdr:rowOff>
    </xdr:to>
    <xdr:sp macro="" textlink="">
      <xdr:nvSpPr>
        <xdr:cNvPr id="20" name="Arrow: Right 19">
          <a:extLst>
            <a:ext uri="{FF2B5EF4-FFF2-40B4-BE49-F238E27FC236}">
              <a16:creationId xmlns:a16="http://schemas.microsoft.com/office/drawing/2014/main" id="{00000000-0008-0000-0200-000014000000}"/>
            </a:ext>
          </a:extLst>
        </xdr:cNvPr>
        <xdr:cNvSpPr/>
      </xdr:nvSpPr>
      <xdr:spPr>
        <a:xfrm>
          <a:off x="11078633" y="5807075"/>
          <a:ext cx="762000"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424425</xdr:colOff>
      <xdr:row>59</xdr:row>
      <xdr:rowOff>62399</xdr:rowOff>
    </xdr:from>
    <xdr:to>
      <xdr:col>24</xdr:col>
      <xdr:colOff>221140</xdr:colOff>
      <xdr:row>60</xdr:row>
      <xdr:rowOff>623316</xdr:rowOff>
    </xdr:to>
    <xdr:sp macro="" textlink="">
      <xdr:nvSpPr>
        <xdr:cNvPr id="21" name="Arrow: Right 20">
          <a:extLst>
            <a:ext uri="{FF2B5EF4-FFF2-40B4-BE49-F238E27FC236}">
              <a16:creationId xmlns:a16="http://schemas.microsoft.com/office/drawing/2014/main" id="{00000000-0008-0000-0200-000015000000}"/>
            </a:ext>
          </a:extLst>
        </xdr:cNvPr>
        <xdr:cNvSpPr/>
      </xdr:nvSpPr>
      <xdr:spPr>
        <a:xfrm rot="5400000">
          <a:off x="15546907" y="6752167"/>
          <a:ext cx="762001" cy="4846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62</xdr:row>
      <xdr:rowOff>0</xdr:rowOff>
    </xdr:from>
    <xdr:to>
      <xdr:col>25</xdr:col>
      <xdr:colOff>645583</xdr:colOff>
      <xdr:row>63</xdr:row>
      <xdr:rowOff>50715</xdr:rowOff>
    </xdr:to>
    <xdr:sp macro="" textlink="">
      <xdr:nvSpPr>
        <xdr:cNvPr id="23" name="Arrow: Right 22">
          <a:extLst>
            <a:ext uri="{FF2B5EF4-FFF2-40B4-BE49-F238E27FC236}">
              <a16:creationId xmlns:a16="http://schemas.microsoft.com/office/drawing/2014/main" id="{00000000-0008-0000-0200-000017000000}"/>
            </a:ext>
          </a:extLst>
        </xdr:cNvPr>
        <xdr:cNvSpPr/>
      </xdr:nvSpPr>
      <xdr:spPr>
        <a:xfrm>
          <a:off x="16637000" y="17430750"/>
          <a:ext cx="645583"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173181</xdr:colOff>
      <xdr:row>46</xdr:row>
      <xdr:rowOff>175159</xdr:rowOff>
    </xdr:from>
    <xdr:to>
      <xdr:col>26</xdr:col>
      <xdr:colOff>574592</xdr:colOff>
      <xdr:row>46</xdr:row>
      <xdr:rowOff>346364</xdr:rowOff>
    </xdr:to>
    <xdr:sp macro="" textlink="">
      <xdr:nvSpPr>
        <xdr:cNvPr id="27" name="Rectangle 26">
          <a:extLst>
            <a:ext uri="{FF2B5EF4-FFF2-40B4-BE49-F238E27FC236}">
              <a16:creationId xmlns:a16="http://schemas.microsoft.com/office/drawing/2014/main" id="{00000000-0008-0000-0200-00001B000000}"/>
            </a:ext>
          </a:extLst>
        </xdr:cNvPr>
        <xdr:cNvSpPr/>
      </xdr:nvSpPr>
      <xdr:spPr>
        <a:xfrm rot="5400000">
          <a:off x="17714704" y="13243522"/>
          <a:ext cx="171205" cy="4014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145963</xdr:colOff>
      <xdr:row>30</xdr:row>
      <xdr:rowOff>80351</xdr:rowOff>
    </xdr:from>
    <xdr:to>
      <xdr:col>27</xdr:col>
      <xdr:colOff>118748</xdr:colOff>
      <xdr:row>61</xdr:row>
      <xdr:rowOff>13610</xdr:rowOff>
    </xdr:to>
    <xdr:sp macro="" textlink="">
      <xdr:nvSpPr>
        <xdr:cNvPr id="28" name="Arrow: Bent 27">
          <a:extLst>
            <a:ext uri="{FF2B5EF4-FFF2-40B4-BE49-F238E27FC236}">
              <a16:creationId xmlns:a16="http://schemas.microsoft.com/office/drawing/2014/main" id="{00000000-0008-0000-0200-00001C000000}"/>
            </a:ext>
          </a:extLst>
        </xdr:cNvPr>
        <xdr:cNvSpPr/>
      </xdr:nvSpPr>
      <xdr:spPr>
        <a:xfrm rot="5400000">
          <a:off x="12721408" y="12724508"/>
          <a:ext cx="10367463" cy="665513"/>
        </a:xfrm>
        <a:prstGeom prst="bentArrow">
          <a:avLst>
            <a:gd name="adj1" fmla="val 25000"/>
            <a:gd name="adj2" fmla="val 25000"/>
            <a:gd name="adj3" fmla="val 21687"/>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0</xdr:col>
      <xdr:colOff>10584</xdr:colOff>
      <xdr:row>1</xdr:row>
      <xdr:rowOff>201083</xdr:rowOff>
    </xdr:from>
    <xdr:to>
      <xdr:col>5</xdr:col>
      <xdr:colOff>1105787</xdr:colOff>
      <xdr:row>15</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584" y="465666"/>
          <a:ext cx="4534786" cy="2508251"/>
        </a:xfrm>
        <a:prstGeom prst="rect">
          <a:avLst/>
        </a:prstGeom>
      </xdr:spPr>
    </xdr:pic>
    <xdr:clientData/>
  </xdr:twoCellAnchor>
  <xdr:twoCellAnchor editAs="oneCell">
    <xdr:from>
      <xdr:col>9</xdr:col>
      <xdr:colOff>10583</xdr:colOff>
      <xdr:row>2</xdr:row>
      <xdr:rowOff>10584</xdr:rowOff>
    </xdr:from>
    <xdr:to>
      <xdr:col>16</xdr:col>
      <xdr:colOff>370416</xdr:colOff>
      <xdr:row>15</xdr:row>
      <xdr:rowOff>24520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6826250" y="476251"/>
          <a:ext cx="4603749" cy="2522186"/>
        </a:xfrm>
        <a:prstGeom prst="rect">
          <a:avLst/>
        </a:prstGeom>
      </xdr:spPr>
    </xdr:pic>
    <xdr:clientData/>
  </xdr:twoCellAnchor>
  <xdr:twoCellAnchor editAs="oneCell">
    <xdr:from>
      <xdr:col>17</xdr:col>
      <xdr:colOff>0</xdr:colOff>
      <xdr:row>2</xdr:row>
      <xdr:rowOff>10583</xdr:rowOff>
    </xdr:from>
    <xdr:to>
      <xdr:col>24</xdr:col>
      <xdr:colOff>486834</xdr:colOff>
      <xdr:row>15</xdr:row>
      <xdr:rowOff>18470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11874500" y="476250"/>
          <a:ext cx="4561417" cy="25161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685799</xdr:colOff>
      <xdr:row>22</xdr:row>
      <xdr:rowOff>9528</xdr:rowOff>
    </xdr:from>
    <xdr:to>
      <xdr:col>8</xdr:col>
      <xdr:colOff>676274</xdr:colOff>
      <xdr:row>29</xdr:row>
      <xdr:rowOff>3</xdr:rowOff>
    </xdr:to>
    <xdr:sp macro="" textlink="">
      <xdr:nvSpPr>
        <xdr:cNvPr id="2" name="Isosceles Triangle 1">
          <a:extLst>
            <a:ext uri="{FF2B5EF4-FFF2-40B4-BE49-F238E27FC236}">
              <a16:creationId xmlns:a16="http://schemas.microsoft.com/office/drawing/2014/main" id="{00000000-0008-0000-0E00-000002000000}"/>
            </a:ext>
          </a:extLst>
        </xdr:cNvPr>
        <xdr:cNvSpPr/>
      </xdr:nvSpPr>
      <xdr:spPr>
        <a:xfrm rot="5400000">
          <a:off x="5019674" y="6134103"/>
          <a:ext cx="2867025" cy="676275"/>
        </a:xfrm>
        <a:prstGeom prst="triangle">
          <a:avLst>
            <a:gd name="adj" fmla="val 561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19050</xdr:colOff>
      <xdr:row>26</xdr:row>
      <xdr:rowOff>123822</xdr:rowOff>
    </xdr:from>
    <xdr:to>
      <xdr:col>16</xdr:col>
      <xdr:colOff>781050</xdr:colOff>
      <xdr:row>26</xdr:row>
      <xdr:rowOff>608454</xdr:rowOff>
    </xdr:to>
    <xdr:sp macro="" textlink="">
      <xdr:nvSpPr>
        <xdr:cNvPr id="3" name="Arrow: Right 2">
          <a:extLst>
            <a:ext uri="{FF2B5EF4-FFF2-40B4-BE49-F238E27FC236}">
              <a16:creationId xmlns:a16="http://schemas.microsoft.com/office/drawing/2014/main" id="{00000000-0008-0000-0E00-000003000000}"/>
            </a:ext>
          </a:extLst>
        </xdr:cNvPr>
        <xdr:cNvSpPr/>
      </xdr:nvSpPr>
      <xdr:spPr>
        <a:xfrm>
          <a:off x="11049000" y="6219822"/>
          <a:ext cx="762000"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685799</xdr:colOff>
      <xdr:row>35</xdr:row>
      <xdr:rowOff>9528</xdr:rowOff>
    </xdr:from>
    <xdr:to>
      <xdr:col>8</xdr:col>
      <xdr:colOff>676274</xdr:colOff>
      <xdr:row>42</xdr:row>
      <xdr:rowOff>3</xdr:rowOff>
    </xdr:to>
    <xdr:sp macro="" textlink="">
      <xdr:nvSpPr>
        <xdr:cNvPr id="19" name="Isosceles Triangle 18">
          <a:extLst>
            <a:ext uri="{FF2B5EF4-FFF2-40B4-BE49-F238E27FC236}">
              <a16:creationId xmlns:a16="http://schemas.microsoft.com/office/drawing/2014/main" id="{00000000-0008-0000-0E00-000013000000}"/>
            </a:ext>
          </a:extLst>
        </xdr:cNvPr>
        <xdr:cNvSpPr/>
      </xdr:nvSpPr>
      <xdr:spPr>
        <a:xfrm rot="5400000">
          <a:off x="5019674" y="6438903"/>
          <a:ext cx="2867025" cy="676275"/>
        </a:xfrm>
        <a:prstGeom prst="triangle">
          <a:avLst>
            <a:gd name="adj" fmla="val 561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19050</xdr:colOff>
      <xdr:row>39</xdr:row>
      <xdr:rowOff>123822</xdr:rowOff>
    </xdr:from>
    <xdr:to>
      <xdr:col>16</xdr:col>
      <xdr:colOff>781050</xdr:colOff>
      <xdr:row>39</xdr:row>
      <xdr:rowOff>608454</xdr:rowOff>
    </xdr:to>
    <xdr:sp macro="" textlink="">
      <xdr:nvSpPr>
        <xdr:cNvPr id="20" name="Arrow: Right 19">
          <a:extLst>
            <a:ext uri="{FF2B5EF4-FFF2-40B4-BE49-F238E27FC236}">
              <a16:creationId xmlns:a16="http://schemas.microsoft.com/office/drawing/2014/main" id="{00000000-0008-0000-0E00-000014000000}"/>
            </a:ext>
          </a:extLst>
        </xdr:cNvPr>
        <xdr:cNvSpPr/>
      </xdr:nvSpPr>
      <xdr:spPr>
        <a:xfrm>
          <a:off x="11049000" y="6724647"/>
          <a:ext cx="762000"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685799</xdr:colOff>
      <xdr:row>48</xdr:row>
      <xdr:rowOff>9528</xdr:rowOff>
    </xdr:from>
    <xdr:to>
      <xdr:col>8</xdr:col>
      <xdr:colOff>676274</xdr:colOff>
      <xdr:row>55</xdr:row>
      <xdr:rowOff>3</xdr:rowOff>
    </xdr:to>
    <xdr:sp macro="" textlink="">
      <xdr:nvSpPr>
        <xdr:cNvPr id="23" name="Isosceles Triangle 22">
          <a:extLst>
            <a:ext uri="{FF2B5EF4-FFF2-40B4-BE49-F238E27FC236}">
              <a16:creationId xmlns:a16="http://schemas.microsoft.com/office/drawing/2014/main" id="{00000000-0008-0000-0E00-000017000000}"/>
            </a:ext>
          </a:extLst>
        </xdr:cNvPr>
        <xdr:cNvSpPr/>
      </xdr:nvSpPr>
      <xdr:spPr>
        <a:xfrm rot="5400000">
          <a:off x="4881562" y="16340140"/>
          <a:ext cx="3143250" cy="676275"/>
        </a:xfrm>
        <a:prstGeom prst="triangle">
          <a:avLst>
            <a:gd name="adj" fmla="val 52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19050</xdr:colOff>
      <xdr:row>52</xdr:row>
      <xdr:rowOff>123822</xdr:rowOff>
    </xdr:from>
    <xdr:to>
      <xdr:col>16</xdr:col>
      <xdr:colOff>781050</xdr:colOff>
      <xdr:row>52</xdr:row>
      <xdr:rowOff>608454</xdr:rowOff>
    </xdr:to>
    <xdr:sp macro="" textlink="">
      <xdr:nvSpPr>
        <xdr:cNvPr id="24" name="Arrow: Right 23">
          <a:extLst>
            <a:ext uri="{FF2B5EF4-FFF2-40B4-BE49-F238E27FC236}">
              <a16:creationId xmlns:a16="http://schemas.microsoft.com/office/drawing/2014/main" id="{00000000-0008-0000-0E00-000018000000}"/>
            </a:ext>
          </a:extLst>
        </xdr:cNvPr>
        <xdr:cNvSpPr/>
      </xdr:nvSpPr>
      <xdr:spPr>
        <a:xfrm>
          <a:off x="11049000" y="6724647"/>
          <a:ext cx="762000"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54</xdr:row>
      <xdr:rowOff>0</xdr:rowOff>
    </xdr:from>
    <xdr:to>
      <xdr:col>25</xdr:col>
      <xdr:colOff>645583</xdr:colOff>
      <xdr:row>55</xdr:row>
      <xdr:rowOff>3090</xdr:rowOff>
    </xdr:to>
    <xdr:sp macro="" textlink="">
      <xdr:nvSpPr>
        <xdr:cNvPr id="26" name="Arrow: Right 25">
          <a:extLst>
            <a:ext uri="{FF2B5EF4-FFF2-40B4-BE49-F238E27FC236}">
              <a16:creationId xmlns:a16="http://schemas.microsoft.com/office/drawing/2014/main" id="{00000000-0008-0000-0E00-00001A000000}"/>
            </a:ext>
          </a:extLst>
        </xdr:cNvPr>
        <xdr:cNvSpPr/>
      </xdr:nvSpPr>
      <xdr:spPr>
        <a:xfrm>
          <a:off x="16583025" y="17459325"/>
          <a:ext cx="645583" cy="6412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85724</xdr:colOff>
      <xdr:row>28</xdr:row>
      <xdr:rowOff>190503</xdr:rowOff>
    </xdr:from>
    <xdr:to>
      <xdr:col>27</xdr:col>
      <xdr:colOff>76199</xdr:colOff>
      <xdr:row>52</xdr:row>
      <xdr:rowOff>762001</xdr:rowOff>
    </xdr:to>
    <xdr:sp macro="" textlink="">
      <xdr:nvSpPr>
        <xdr:cNvPr id="27" name="Arrow: Bent 26">
          <a:extLst>
            <a:ext uri="{FF2B5EF4-FFF2-40B4-BE49-F238E27FC236}">
              <a16:creationId xmlns:a16="http://schemas.microsoft.com/office/drawing/2014/main" id="{00000000-0008-0000-0E00-00001B000000}"/>
            </a:ext>
          </a:extLst>
        </xdr:cNvPr>
        <xdr:cNvSpPr/>
      </xdr:nvSpPr>
      <xdr:spPr>
        <a:xfrm rot="5400000">
          <a:off x="12968288" y="12149139"/>
          <a:ext cx="9448798" cy="676275"/>
        </a:xfrm>
        <a:prstGeom prst="bentArrow">
          <a:avLst>
            <a:gd name="adj1" fmla="val 25000"/>
            <a:gd name="adj2" fmla="val 26446"/>
            <a:gd name="adj3" fmla="val 21687"/>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26</xdr:col>
      <xdr:colOff>85725</xdr:colOff>
      <xdr:row>41</xdr:row>
      <xdr:rowOff>171450</xdr:rowOff>
    </xdr:from>
    <xdr:to>
      <xdr:col>26</xdr:col>
      <xdr:colOff>487136</xdr:colOff>
      <xdr:row>41</xdr:row>
      <xdr:rowOff>342655</xdr:rowOff>
    </xdr:to>
    <xdr:sp macro="" textlink="">
      <xdr:nvSpPr>
        <xdr:cNvPr id="28" name="Rectangle 27">
          <a:extLst>
            <a:ext uri="{FF2B5EF4-FFF2-40B4-BE49-F238E27FC236}">
              <a16:creationId xmlns:a16="http://schemas.microsoft.com/office/drawing/2014/main" id="{00000000-0008-0000-0E00-00001C000000}"/>
            </a:ext>
          </a:extLst>
        </xdr:cNvPr>
        <xdr:cNvSpPr/>
      </xdr:nvSpPr>
      <xdr:spPr>
        <a:xfrm rot="5400000">
          <a:off x="17469653" y="12553147"/>
          <a:ext cx="171205" cy="4014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76200</xdr:colOff>
      <xdr:row>2</xdr:row>
      <xdr:rowOff>0</xdr:rowOff>
    </xdr:from>
    <xdr:to>
      <xdr:col>5</xdr:col>
      <xdr:colOff>1066800</xdr:colOff>
      <xdr:row>14</xdr:row>
      <xdr:rowOff>213347</xdr:rowOff>
    </xdr:to>
    <xdr:pic>
      <xdr:nvPicPr>
        <xdr:cNvPr id="22" name="3EE1F229-3C66-4438-BEAF-4D41D9BC171C">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6200" y="476250"/>
          <a:ext cx="4419600" cy="251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xdr:colOff>
      <xdr:row>2</xdr:row>
      <xdr:rowOff>0</xdr:rowOff>
    </xdr:from>
    <xdr:to>
      <xdr:col>16</xdr:col>
      <xdr:colOff>323851</xdr:colOff>
      <xdr:row>14</xdr:row>
      <xdr:rowOff>281138</xdr:rowOff>
    </xdr:to>
    <xdr:pic>
      <xdr:nvPicPr>
        <xdr:cNvPr id="29" name="07158E0B-FDE5-43A1-89FB-B36FADC51279">
          <a:extLst>
            <a:ext uri="{FF2B5EF4-FFF2-40B4-BE49-F238E27FC236}">
              <a16:creationId xmlns:a16="http://schemas.microsoft.com/office/drawing/2014/main" id="{00000000-0008-0000-0E00-00001D000000}"/>
            </a:ext>
          </a:extLst>
        </xdr:cNvPr>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6800851" y="476250"/>
          <a:ext cx="4572000" cy="2605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800101</xdr:colOff>
      <xdr:row>0</xdr:row>
      <xdr:rowOff>247650</xdr:rowOff>
    </xdr:from>
    <xdr:to>
      <xdr:col>24</xdr:col>
      <xdr:colOff>521336</xdr:colOff>
      <xdr:row>15</xdr:row>
      <xdr:rowOff>0</xdr:rowOff>
    </xdr:to>
    <xdr:pic>
      <xdr:nvPicPr>
        <xdr:cNvPr id="30" name="9B264E21-8C15-4C67-8F67-713A162A5F0F">
          <a:extLst>
            <a:ext uri="{FF2B5EF4-FFF2-40B4-BE49-F238E27FC236}">
              <a16:creationId xmlns:a16="http://schemas.microsoft.com/office/drawing/2014/main" id="{00000000-0008-0000-0E00-00001E000000}"/>
            </a:ext>
          </a:extLst>
        </xdr:cNvPr>
        <xdr:cNvPicPr>
          <a:picLocks noChangeAspect="1" noChangeArrowheads="1"/>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11849101" y="247650"/>
          <a:ext cx="4617085"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57147</xdr:colOff>
      <xdr:row>60</xdr:row>
      <xdr:rowOff>123825</xdr:rowOff>
    </xdr:from>
    <xdr:to>
      <xdr:col>16</xdr:col>
      <xdr:colOff>990599</xdr:colOff>
      <xdr:row>62</xdr:row>
      <xdr:rowOff>180975</xdr:rowOff>
    </xdr:to>
    <xdr:sp macro="" textlink="">
      <xdr:nvSpPr>
        <xdr:cNvPr id="2" name="Isosceles Triangle 1">
          <a:extLst>
            <a:ext uri="{FF2B5EF4-FFF2-40B4-BE49-F238E27FC236}">
              <a16:creationId xmlns:a16="http://schemas.microsoft.com/office/drawing/2014/main" id="{00000000-0008-0000-0D00-000002000000}"/>
            </a:ext>
          </a:extLst>
        </xdr:cNvPr>
        <xdr:cNvSpPr/>
      </xdr:nvSpPr>
      <xdr:spPr>
        <a:xfrm rot="10800000">
          <a:off x="57147" y="11963400"/>
          <a:ext cx="16468727" cy="438150"/>
        </a:xfrm>
        <a:prstGeom prst="triangle">
          <a:avLst>
            <a:gd name="adj" fmla="val 4988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46</xdr:row>
      <xdr:rowOff>0</xdr:rowOff>
    </xdr:from>
    <xdr:to>
      <xdr:col>13</xdr:col>
      <xdr:colOff>19049</xdr:colOff>
      <xdr:row>48</xdr:row>
      <xdr:rowOff>114300</xdr:rowOff>
    </xdr:to>
    <xdr:sp macro="" textlink="">
      <xdr:nvSpPr>
        <xdr:cNvPr id="2" name="Isosceles Triangle 1">
          <a:extLst>
            <a:ext uri="{FF2B5EF4-FFF2-40B4-BE49-F238E27FC236}">
              <a16:creationId xmlns:a16="http://schemas.microsoft.com/office/drawing/2014/main" id="{00000000-0008-0000-1200-000002000000}"/>
            </a:ext>
          </a:extLst>
        </xdr:cNvPr>
        <xdr:cNvSpPr/>
      </xdr:nvSpPr>
      <xdr:spPr>
        <a:xfrm rot="10800000">
          <a:off x="0" y="9305925"/>
          <a:ext cx="14182724" cy="438150"/>
        </a:xfrm>
        <a:prstGeom prst="triangle">
          <a:avLst>
            <a:gd name="adj" fmla="val 4988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180975</xdr:colOff>
      <xdr:row>20</xdr:row>
      <xdr:rowOff>2</xdr:rowOff>
    </xdr:from>
    <xdr:to>
      <xdr:col>8</xdr:col>
      <xdr:colOff>600075</xdr:colOff>
      <xdr:row>33</xdr:row>
      <xdr:rowOff>4</xdr:rowOff>
    </xdr:to>
    <xdr:sp macro="" textlink="">
      <xdr:nvSpPr>
        <xdr:cNvPr id="2" name="Isosceles Triangle 1">
          <a:extLst>
            <a:ext uri="{FF2B5EF4-FFF2-40B4-BE49-F238E27FC236}">
              <a16:creationId xmlns:a16="http://schemas.microsoft.com/office/drawing/2014/main" id="{00000000-0008-0000-0C00-000002000000}"/>
            </a:ext>
          </a:extLst>
        </xdr:cNvPr>
        <xdr:cNvSpPr/>
      </xdr:nvSpPr>
      <xdr:spPr>
        <a:xfrm rot="5400000">
          <a:off x="3790949" y="6800853"/>
          <a:ext cx="5429252" cy="419100"/>
        </a:xfrm>
        <a:prstGeom prst="triangle">
          <a:avLst>
            <a:gd name="adj" fmla="val 62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19050</xdr:colOff>
      <xdr:row>28</xdr:row>
      <xdr:rowOff>123822</xdr:rowOff>
    </xdr:from>
    <xdr:to>
      <xdr:col>18</xdr:col>
      <xdr:colOff>781050</xdr:colOff>
      <xdr:row>28</xdr:row>
      <xdr:rowOff>608454</xdr:rowOff>
    </xdr:to>
    <xdr:sp macro="" textlink="">
      <xdr:nvSpPr>
        <xdr:cNvPr id="3" name="Arrow: Right 2">
          <a:extLst>
            <a:ext uri="{FF2B5EF4-FFF2-40B4-BE49-F238E27FC236}">
              <a16:creationId xmlns:a16="http://schemas.microsoft.com/office/drawing/2014/main" id="{00000000-0008-0000-0C00-000003000000}"/>
            </a:ext>
          </a:extLst>
        </xdr:cNvPr>
        <xdr:cNvSpPr/>
      </xdr:nvSpPr>
      <xdr:spPr>
        <a:xfrm>
          <a:off x="11049000" y="6219822"/>
          <a:ext cx="762000"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1</xdr:row>
      <xdr:rowOff>180975</xdr:rowOff>
    </xdr:from>
    <xdr:to>
      <xdr:col>5</xdr:col>
      <xdr:colOff>1156270</xdr:colOff>
      <xdr:row>15</xdr:row>
      <xdr:rowOff>38100</xdr:rowOff>
    </xdr:to>
    <xdr:pic>
      <xdr:nvPicPr>
        <xdr:cNvPr id="7" name="98F47C20-7C2F-4645-9A87-31AA19DB7A3A">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438150"/>
          <a:ext cx="4585270"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381001</xdr:colOff>
      <xdr:row>0</xdr:row>
      <xdr:rowOff>228600</xdr:rowOff>
    </xdr:from>
    <xdr:to>
      <xdr:col>17</xdr:col>
      <xdr:colOff>175769</xdr:colOff>
      <xdr:row>15</xdr:row>
      <xdr:rowOff>47625</xdr:rowOff>
    </xdr:to>
    <xdr:pic>
      <xdr:nvPicPr>
        <xdr:cNvPr id="9" name="14A6E6CE-BA7B-4925-86EE-0EBC2971E57B">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553451" y="228600"/>
          <a:ext cx="4604893"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601135</xdr:colOff>
      <xdr:row>5</xdr:row>
      <xdr:rowOff>142876</xdr:rowOff>
    </xdr:from>
    <xdr:to>
      <xdr:col>20</xdr:col>
      <xdr:colOff>104775</xdr:colOff>
      <xdr:row>37</xdr:row>
      <xdr:rowOff>85725</xdr:rowOff>
    </xdr:to>
    <xdr:sp macro="" textlink="">
      <xdr:nvSpPr>
        <xdr:cNvPr id="6" name="Rectangle 5">
          <a:extLst>
            <a:ext uri="{FF2B5EF4-FFF2-40B4-BE49-F238E27FC236}">
              <a16:creationId xmlns:a16="http://schemas.microsoft.com/office/drawing/2014/main" id="{00000000-0008-0000-1300-000006000000}"/>
            </a:ext>
          </a:extLst>
        </xdr:cNvPr>
        <xdr:cNvSpPr/>
      </xdr:nvSpPr>
      <xdr:spPr>
        <a:xfrm>
          <a:off x="13507510" y="1304926"/>
          <a:ext cx="4266140" cy="6353174"/>
        </a:xfrm>
        <a:prstGeom prst="rect">
          <a:avLst/>
        </a:prstGeom>
        <a:noFill/>
        <a:ln w="444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676275</xdr:colOff>
      <xdr:row>4</xdr:row>
      <xdr:rowOff>85723</xdr:rowOff>
    </xdr:from>
    <xdr:to>
      <xdr:col>4</xdr:col>
      <xdr:colOff>4</xdr:colOff>
      <xdr:row>11</xdr:row>
      <xdr:rowOff>85724</xdr:rowOff>
    </xdr:to>
    <xdr:cxnSp macro="">
      <xdr:nvCxnSpPr>
        <xdr:cNvPr id="13" name="Connector: Elbow 12">
          <a:extLst>
            <a:ext uri="{FF2B5EF4-FFF2-40B4-BE49-F238E27FC236}">
              <a16:creationId xmlns:a16="http://schemas.microsoft.com/office/drawing/2014/main" id="{00000000-0008-0000-1300-00000D000000}"/>
            </a:ext>
          </a:extLst>
        </xdr:cNvPr>
        <xdr:cNvCxnSpPr/>
      </xdr:nvCxnSpPr>
      <xdr:spPr>
        <a:xfrm rot="10800000" flipV="1">
          <a:off x="676275" y="1047748"/>
          <a:ext cx="3714754" cy="1409701"/>
        </a:xfrm>
        <a:prstGeom prst="bentConnector3">
          <a:avLst>
            <a:gd name="adj1" fmla="val 103846"/>
          </a:avLst>
        </a:prstGeom>
        <a:ln w="9525" cap="flat" cmpd="sng" algn="ctr">
          <a:solidFill>
            <a:schemeClr val="accent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533400</xdr:colOff>
      <xdr:row>11</xdr:row>
      <xdr:rowOff>76200</xdr:rowOff>
    </xdr:from>
    <xdr:to>
      <xdr:col>0</xdr:col>
      <xdr:colOff>533400</xdr:colOff>
      <xdr:row>12</xdr:row>
      <xdr:rowOff>95250</xdr:rowOff>
    </xdr:to>
    <xdr:cxnSp macro="">
      <xdr:nvCxnSpPr>
        <xdr:cNvPr id="3" name="Straight Connector 2">
          <a:extLst>
            <a:ext uri="{FF2B5EF4-FFF2-40B4-BE49-F238E27FC236}">
              <a16:creationId xmlns:a16="http://schemas.microsoft.com/office/drawing/2014/main" id="{00000000-0008-0000-1300-000003000000}"/>
            </a:ext>
          </a:extLst>
        </xdr:cNvPr>
        <xdr:cNvCxnSpPr/>
      </xdr:nvCxnSpPr>
      <xdr:spPr>
        <a:xfrm>
          <a:off x="533400" y="2838450"/>
          <a:ext cx="0" cy="209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533400</xdr:colOff>
      <xdr:row>12</xdr:row>
      <xdr:rowOff>85725</xdr:rowOff>
    </xdr:from>
    <xdr:to>
      <xdr:col>0</xdr:col>
      <xdr:colOff>676275</xdr:colOff>
      <xdr:row>12</xdr:row>
      <xdr:rowOff>85725</xdr:rowOff>
    </xdr:to>
    <xdr:cxnSp macro="">
      <xdr:nvCxnSpPr>
        <xdr:cNvPr id="12" name="Straight Arrow Connector 11">
          <a:extLst>
            <a:ext uri="{FF2B5EF4-FFF2-40B4-BE49-F238E27FC236}">
              <a16:creationId xmlns:a16="http://schemas.microsoft.com/office/drawing/2014/main" id="{00000000-0008-0000-1300-00000C000000}"/>
            </a:ext>
          </a:extLst>
        </xdr:cNvPr>
        <xdr:cNvCxnSpPr/>
      </xdr:nvCxnSpPr>
      <xdr:spPr>
        <a:xfrm>
          <a:off x="533400" y="3038475"/>
          <a:ext cx="142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666750</xdr:colOff>
      <xdr:row>0</xdr:row>
      <xdr:rowOff>161926</xdr:rowOff>
    </xdr:from>
    <xdr:to>
      <xdr:col>8</xdr:col>
      <xdr:colOff>19050</xdr:colOff>
      <xdr:row>4</xdr:row>
      <xdr:rowOff>0</xdr:rowOff>
    </xdr:to>
    <xdr:sp macro="" textlink="">
      <xdr:nvSpPr>
        <xdr:cNvPr id="6" name="Rectangle 5">
          <a:extLst>
            <a:ext uri="{FF2B5EF4-FFF2-40B4-BE49-F238E27FC236}">
              <a16:creationId xmlns:a16="http://schemas.microsoft.com/office/drawing/2014/main" id="{00000000-0008-0000-0500-000006000000}"/>
            </a:ext>
          </a:extLst>
        </xdr:cNvPr>
        <xdr:cNvSpPr/>
      </xdr:nvSpPr>
      <xdr:spPr>
        <a:xfrm>
          <a:off x="9163050" y="161926"/>
          <a:ext cx="2781300" cy="1847849"/>
        </a:xfrm>
        <a:prstGeom prst="rect">
          <a:avLst/>
        </a:prstGeom>
        <a:noFill/>
        <a:ln w="444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1562100</xdr:colOff>
      <xdr:row>76</xdr:row>
      <xdr:rowOff>0</xdr:rowOff>
    </xdr:from>
    <xdr:to>
      <xdr:col>1</xdr:col>
      <xdr:colOff>3143250</xdr:colOff>
      <xdr:row>76</xdr:row>
      <xdr:rowOff>0</xdr:rowOff>
    </xdr:to>
    <xdr:cxnSp macro="">
      <xdr:nvCxnSpPr>
        <xdr:cNvPr id="3" name="Straight Connector 2">
          <a:extLst>
            <a:ext uri="{FF2B5EF4-FFF2-40B4-BE49-F238E27FC236}">
              <a16:creationId xmlns:a16="http://schemas.microsoft.com/office/drawing/2014/main" id="{00000000-0008-0000-1400-000003000000}"/>
            </a:ext>
          </a:extLst>
        </xdr:cNvPr>
        <xdr:cNvCxnSpPr/>
      </xdr:nvCxnSpPr>
      <xdr:spPr>
        <a:xfrm>
          <a:off x="1562100" y="26679525"/>
          <a:ext cx="3152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Uwe Pfeffer" id="{E60D3617-0C55-4912-824E-B49C615E546C}" userId="S::Uwe.Pfeffer@sparkassenstiftung.de::ffb0cf66-98b0-4b73-83d6-68092531def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C886DD6-0AAE-4C96-801A-175EFF0ABA5E}" name="OwnersInvestments" displayName="OwnersInvestments" ref="A76:C81" totalsRowCount="1" headerRowDxfId="158" dataDxfId="157" totalsRowDxfId="156">
  <tableColumns count="3">
    <tableColumn id="1" xr3:uid="{3C52CE72-14F4-4C9E-8462-7841BDCC3E51}" name="OWNERS' INVESTMENT (NAME &amp; OWNERSHIP %)" totalsRowLabel="Total" dataDxfId="154" totalsRowDxfId="155"/>
    <tableColumn id="3" xr3:uid="{7C67D3A6-A5D0-469E-A60F-6C9DAEE01927}" name=" " dataDxfId="152" totalsRowDxfId="153"/>
    <tableColumn id="2" xr3:uid="{B8D36E49-0A81-48FA-90DA-D04ABF49D392}" name="AMOUNT" totalsRowFunction="sum" dataDxfId="150" totalsRowDxfId="151"/>
  </tableColumns>
  <tableStyleInfo name="Startup Expenses" showFirstColumn="0" showLastColumn="1" showRowStripes="1" showColumnStripes="0"/>
  <extLst>
    <ext xmlns:x14="http://schemas.microsoft.com/office/spreadsheetml/2009/9/main" uri="{504A1905-F514-4f6f-8877-14C23A59335A}">
      <x14:table altTextSummary="Enter Owners' Investment Name and Ownership percent and amount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658AFC5-DAAC-4AC5-8DA2-D05D177FF947}" name="RealEstate" displayName="RealEstate" ref="A6:G11" totalsRowCount="1" headerRowDxfId="149" dataDxfId="148" totalsRowDxfId="147">
  <tableColumns count="7">
    <tableColumn id="1" xr3:uid="{3E975AC6-2F12-4E30-BBB6-7173BFD53B0F}" name="BUILDINGS/REAL ESTATE" totalsRowLabel="Total" dataDxfId="145" totalsRowDxfId="146"/>
    <tableColumn id="3" xr3:uid="{16AC2BFF-1AC5-4F5B-9511-DAA2A8EB951C}" name=" " dataDxfId="143" totalsRowDxfId="144"/>
    <tableColumn id="2" xr3:uid="{8049D7A0-8710-4441-A21B-2DB60D17595E}" name="AMOUNT" totalsRowFunction="sum" dataDxfId="141" totalsRowDxfId="142"/>
    <tableColumn id="4" xr3:uid="{089B5694-B7D9-48D6-A9C0-E2794DE4BA36}" name="DEPRECIATION PERIOD IN YEARS" dataDxfId="140"/>
    <tableColumn id="5" xr3:uid="{DCE224D6-17BA-4388-97BD-2448D04A1E18}" name="YEAR 1" totalsRowFunction="sum" dataDxfId="138" totalsRowDxfId="139">
      <calculatedColumnFormula>IF(RealEstate[[#This Row],[AMOUNT]]&gt;0,RealEstate[[#This Row],[AMOUNT]]-RealEstate[[#This Row],[AMOUNT]]/RealEstate[[#This Row],[DEPRECIATION PERIOD IN YEARS]],0)</calculatedColumnFormula>
    </tableColumn>
    <tableColumn id="6" xr3:uid="{4D00583E-789E-4799-95F3-F1A5293D645D}" name="YEAR 2" totalsRowFunction="sum" dataDxfId="136" totalsRowDxfId="137">
      <calculatedColumnFormula>IF(RealEstate[[#This Row],[DEPRECIATION PERIOD IN YEARS]]&gt;1,RealEstate[[#This Row],[YEAR 1]]-RealEstate[[#This Row],[AMOUNT]]/RealEstate[[#This Row],[DEPRECIATION PERIOD IN YEARS]],0)</calculatedColumnFormula>
    </tableColumn>
    <tableColumn id="7" xr3:uid="{762318CC-7235-4A96-B456-167F9473F6BD}" name="YEAR 3" totalsRowFunction="sum" dataDxfId="134" totalsRowDxfId="135">
      <calculatedColumnFormula>IF(RealEstate[[#This Row],[DEPRECIATION PERIOD IN YEARS]]&gt;2,RealEstate[[#This Row],[YEAR 2]]-RealEstate[[#This Row],[AMOUNT]]/RealEstate[[#This Row],[DEPRECIATION PERIOD IN YEARS]],0)</calculatedColumnFormula>
    </tableColumn>
  </tableColumns>
  <tableStyleInfo name="Startup Expenses" showFirstColumn="0" showLastColumn="1" showRowStripes="1" showColumnStripes="0"/>
  <extLst>
    <ext xmlns:x14="http://schemas.microsoft.com/office/spreadsheetml/2009/9/main" uri="{504A1905-F514-4f6f-8877-14C23A59335A}">
      <x14:table altTextSummary="Enter Real Estate items and Amount in this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ADF51DE-EB3D-4E6A-91A2-13B2C2FBC13E}" name="Improvements" displayName="Improvements" ref="A13:C18" totalsRowCount="1" headerRowDxfId="133" dataDxfId="132" totalsRowDxfId="131">
  <tableColumns count="3">
    <tableColumn id="1" xr3:uid="{BE050D8B-687C-435A-B4DF-4B80A9DDC2F9}" name="LEASEHOLD IMPROVEMENTS" totalsRowLabel="Total" dataDxfId="129" totalsRowDxfId="130"/>
    <tableColumn id="3" xr3:uid="{EEF4ED4E-3690-4505-9210-B8A8B93568AB}" name=" " dataDxfId="127" totalsRowDxfId="128"/>
    <tableColumn id="2" xr3:uid="{41528767-C977-444B-9DAC-1E8FAC811842}" name="AMOUNT" totalsRowFunction="sum" dataDxfId="125" totalsRowDxfId="126"/>
  </tableColumns>
  <tableStyleInfo name="Startup Expenses" showFirstColumn="0" showLastColumn="1" showRowStripes="1" showColumnStripes="0"/>
  <extLst>
    <ext xmlns:x14="http://schemas.microsoft.com/office/spreadsheetml/2009/9/main" uri="{504A1905-F514-4f6f-8877-14C23A59335A}">
      <x14:table altTextSummary="Enter Leasehold Improvements and Amount in this 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FF6175D-EF16-4F4B-82CC-6F6D5BA26796}" name="Capital" displayName="Capital" ref="A20:G26" totalsRowCount="1" headerRowDxfId="124" dataDxfId="123" totalsRowDxfId="122">
  <tableColumns count="7">
    <tableColumn id="1" xr3:uid="{7047DB55-CBAF-45B8-8796-2DAA5AC83619}" name="CAPITAL EQUIPMENT LIST" totalsRowLabel="Total" dataDxfId="120" totalsRowDxfId="121"/>
    <tableColumn id="3" xr3:uid="{7A104A8E-EE61-4FF2-B6B3-9D4633C1C5DE}" name=" " dataDxfId="118" totalsRowDxfId="119"/>
    <tableColumn id="2" xr3:uid="{937E7430-6D64-445D-93ED-8DE09FEA4DBF}" name="AMOUNT" totalsRowFunction="sum" dataDxfId="116" totalsRowDxfId="117"/>
    <tableColumn id="4" xr3:uid="{2056E50E-D3BD-496F-AD41-85CD05E6DBAF}" name="DEPRECIATION PERIOD IN YEARS" dataDxfId="114" totalsRowDxfId="115"/>
    <tableColumn id="5" xr3:uid="{78FDB4CF-295D-48AA-8806-06B85C87890B}" name="YEAR 1" totalsRowFunction="sum" dataDxfId="112" totalsRowDxfId="113">
      <calculatedColumnFormula>IF(Capital[[#This Row],[AMOUNT]]&gt;0,Capital[[#This Row],[AMOUNT]]-Capital[[#This Row],[AMOUNT]]/Capital[[#This Row],[DEPRECIATION PERIOD IN YEARS]],0)</calculatedColumnFormula>
    </tableColumn>
    <tableColumn id="6" xr3:uid="{9D7856F1-1D32-49CA-B563-575EAB1B1C28}" name="YEAR 2" totalsRowFunction="sum" dataDxfId="110" totalsRowDxfId="111">
      <calculatedColumnFormula>IF(Capital[[#This Row],[DEPRECIATION PERIOD IN YEARS]]&gt;1,Capital[[#This Row],[YEAR 1]]-Capital[[#This Row],[AMOUNT]]/Capital[[#This Row],[DEPRECIATION PERIOD IN YEARS]],0)</calculatedColumnFormula>
    </tableColumn>
    <tableColumn id="7" xr3:uid="{31A0B6E6-6C57-4D0D-9020-82C156731A9D}" name="YEAR 3" totalsRowFunction="sum" dataDxfId="108" totalsRowDxfId="109">
      <calculatedColumnFormula>IF(Capital[[#This Row],[DEPRECIATION PERIOD IN YEARS]]&gt;2,Capital[[#This Row],[YEAR 2]]-Capital[[#This Row],[AMOUNT]]/Capital[[#This Row],[DEPRECIATION PERIOD IN YEARS]],0)</calculatedColumnFormula>
    </tableColumn>
  </tableColumns>
  <tableStyleInfo name="Startup Expenses" showFirstColumn="0" showLastColumn="1" showRowStripes="1" showColumnStripes="0"/>
  <extLst>
    <ext xmlns:x14="http://schemas.microsoft.com/office/spreadsheetml/2009/9/main" uri="{504A1905-F514-4f6f-8877-14C23A59335A}">
      <x14:table altTextSummary="Enter Capital Equipment List and Amount in this tabl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D530BA2-D5A3-4318-B40C-3476DC7D681A}" name="AdminExpenses" displayName="AdminExpenses" ref="A28:C35" totalsRowCount="1" headerRowDxfId="107" dataDxfId="106" totalsRowDxfId="105">
  <tableColumns count="3">
    <tableColumn id="1" xr3:uid="{94500186-744B-4E38-BB95-4FA6ABD398D2}" name="LOCATION AND ADMIN EXPENSES" totalsRowLabel="Total" dataDxfId="103" totalsRowDxfId="104"/>
    <tableColumn id="3" xr3:uid="{0E4304E3-6113-475F-B785-0054FBC1E6F9}" name=" " dataDxfId="101" totalsRowDxfId="102"/>
    <tableColumn id="2" xr3:uid="{B3AF4D12-722E-45FE-BBB4-A9F6AC190BD0}" name="AMOUNT" totalsRowFunction="sum" dataDxfId="99" totalsRowDxfId="100"/>
  </tableColumns>
  <tableStyleInfo name="Startup Expenses" showFirstColumn="0" showLastColumn="1" showRowStripes="1" showColumnStripes="0"/>
  <extLst>
    <ext xmlns:x14="http://schemas.microsoft.com/office/spreadsheetml/2009/9/main" uri="{504A1905-F514-4f6f-8877-14C23A59335A}">
      <x14:table altTextSummary="Enter Location and Admin Expense items and Amount in this table"/>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CC9E17C-13E2-400F-B6B2-4AA44B0113D4}" name="OpeningInventory" displayName="OpeningInventory" ref="A37:C43" totalsRowCount="1" headerRowDxfId="98" dataDxfId="97" totalsRowDxfId="96">
  <tableColumns count="3">
    <tableColumn id="1" xr3:uid="{AD471103-087B-4EE8-A61B-DA2170DDB3C8}" name="OPENING INVENTORY" totalsRowLabel="Total" dataDxfId="94" totalsRowDxfId="95"/>
    <tableColumn id="3" xr3:uid="{76533885-1666-41AA-ADD9-F8F8705366E3}" name=" " dataDxfId="92" totalsRowDxfId="93"/>
    <tableColumn id="2" xr3:uid="{9DCC6A62-A539-47A1-8253-41595180E3B2}" name="AMOUNT" totalsRowFunction="sum" dataDxfId="90" totalsRowDxfId="91"/>
  </tableColumns>
  <tableStyleInfo name="Startup Expenses" showFirstColumn="0" showLastColumn="1" showRowStripes="1" showColumnStripes="0"/>
  <extLst>
    <ext xmlns:x14="http://schemas.microsoft.com/office/spreadsheetml/2009/9/main" uri="{504A1905-F514-4f6f-8877-14C23A59335A}">
      <x14:table altTextSummary="Enter Opening Inventory items and Amount in this tabl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7FF5AFB-7B2A-4FB7-9121-5FDF4475BB42}" name="PromoExpenses" displayName="PromoExpenses" ref="A45:C51" totalsRowCount="1" headerRowDxfId="89" dataDxfId="88" totalsRowDxfId="87">
  <tableColumns count="3">
    <tableColumn id="1" xr3:uid="{82200F0E-F91E-4A75-9EC4-6D31112D194A}" name="ADVERTISING AND PROMOTIONAL EXPENSES" totalsRowLabel="Total" dataDxfId="85" totalsRowDxfId="86"/>
    <tableColumn id="3" xr3:uid="{1D30DB49-827D-4562-87D5-7F36EAB31C57}" name=" " dataDxfId="83" totalsRowDxfId="84"/>
    <tableColumn id="2" xr3:uid="{C66F177A-225B-4AF1-A997-C008699EF13F}" name="AMOUNT" totalsRowFunction="sum" dataDxfId="81" totalsRowDxfId="82"/>
  </tableColumns>
  <tableStyleInfo name="Startup Expenses" showFirstColumn="0" showLastColumn="1" showRowStripes="1" showColumnStripes="0"/>
  <extLst>
    <ext xmlns:x14="http://schemas.microsoft.com/office/spreadsheetml/2009/9/main" uri="{504A1905-F514-4f6f-8877-14C23A59335A}">
      <x14:table altTextSummary="Enter Advertising and Promotional Expenses items and Amount in this tabl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454B09C-2D9A-47AC-A46F-3085B923364B}" name="OtherExpenses" displayName="OtherExpenses" ref="A53:C56" totalsRowCount="1" headerRowDxfId="80" dataDxfId="79" totalsRowDxfId="78">
  <tableColumns count="3">
    <tableColumn id="1" xr3:uid="{357DFAAF-61BB-41F2-8267-5AEE6A29D05B}" name="OTHER EXPENSES" totalsRowLabel="Total" dataDxfId="76" totalsRowDxfId="77"/>
    <tableColumn id="3" xr3:uid="{3DA4B409-DD5F-4A04-890F-CB13B3A91F2F}" name=" " dataDxfId="74" totalsRowDxfId="75"/>
    <tableColumn id="2" xr3:uid="{D436A347-6832-4305-A775-3EB88CD8AFBF}" name="AMOUNT" totalsRowFunction="sum" dataDxfId="72" totalsRowDxfId="73"/>
  </tableColumns>
  <tableStyleInfo name="Startup Expenses" showFirstColumn="0" showLastColumn="1" showRowStripes="1" showColumnStripes="0"/>
  <extLst>
    <ext xmlns:x14="http://schemas.microsoft.com/office/spreadsheetml/2009/9/main" uri="{504A1905-F514-4f6f-8877-14C23A59335A}">
      <x14:table altTextSummary="Enter Other Expenses items and Amount in this tabl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76A7851-D5C7-4EFE-A80F-236F4464B77B}" name="Collateral" displayName="Collateral" ref="A106:C111" totalsRowCount="1" headerRowDxfId="71" dataDxfId="70" totalsRowDxfId="69">
  <tableColumns count="3">
    <tableColumn id="1" xr3:uid="{FFC195DB-7CF6-4FC8-98F5-AD665F025163}" name="COLLATERAL FOR LOANS" totalsRowLabel="Total" dataDxfId="67" totalsRowDxfId="68"/>
    <tableColumn id="3" xr3:uid="{A18E69BC-F1F9-49BF-9F6E-382D050F3B13}" name="DESCRIPTION" dataDxfId="65" totalsRowDxfId="66"/>
    <tableColumn id="2" xr3:uid="{37E0A366-59BB-4AF5-9F04-89148CC9F1A3}" name="VALUE" totalsRowFunction="sum" dataDxfId="63" totalsRowDxfId="64"/>
  </tableColumns>
  <tableStyleInfo name="Startup Expenses" showFirstColumn="0" showLastColumn="0" showRowStripes="1" showColumnStripes="0"/>
  <extLst>
    <ext xmlns:x14="http://schemas.microsoft.com/office/spreadsheetml/2009/9/main" uri="{504A1905-F514-4f6f-8877-14C23A59335A}">
      <x14:table altTextSummary="Enter Collateral for Loans, Description, and Value in this tabl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6276A60-F333-4B68-9F55-B567B997C590}" name="BankLoans" displayName="BankLoans" ref="A83:G88" totalsRowCount="1" headerRowDxfId="62" dataDxfId="61" totalsRowDxfId="60">
  <tableColumns count="7">
    <tableColumn id="1" xr3:uid="{0FA4B0B3-44D0-42EC-BFF1-8F2F4E438714}" name="BANK LOANS" totalsRowLabel="Total" dataDxfId="58" totalsRowDxfId="59"/>
    <tableColumn id="3" xr3:uid="{D825653D-DF6C-46AB-B1CC-24523E3E717E}" name=" " dataDxfId="56" totalsRowDxfId="57"/>
    <tableColumn id="2" xr3:uid="{DD4A1063-4BFB-4EF0-95DD-42CA713B1968}" name="AMOUNT" totalsRowFunction="sum" dataDxfId="54" totalsRowDxfId="55"/>
    <tableColumn id="4" xr3:uid="{402162A5-F616-485B-B7EC-DFB2B7EC6730}" name="Duration in years" dataDxfId="52" totalsRowDxfId="53"/>
    <tableColumn id="5" xr3:uid="{B2F301B8-6D48-43E4-8D9E-E432137EE201}" name="Interest rate" dataDxfId="50" totalsRowDxfId="51"/>
    <tableColumn id="6" xr3:uid="{B322186C-3B5A-477F-A220-9C23CA3A1618}" name="Year 1" totalsRowFunction="sum" dataDxfId="48" totalsRowDxfId="49">
      <calculatedColumnFormula>IF(BankLoans[[#This Row],[AMOUNT]]&gt;0,BankLoans[[#This Row],[AMOUNT]]-BankLoans[[#This Row],[AMOUNT]]/BankLoans[[#This Row],[Duration in years]],0)</calculatedColumnFormula>
    </tableColumn>
    <tableColumn id="7" xr3:uid="{AF8FAEBC-2C63-470C-BD59-D24F221783F4}" name="Year 2" totalsRowFunction="sum" dataDxfId="46" totalsRowDxfId="47">
      <calculatedColumnFormula>IF(BankLoans[[#This Row],[AMOUNT]]&gt;0,MAX(BankLoans[[#This Row],[AMOUNT]]-2*(BankLoans[[#This Row],[AMOUNT]]/BankLoans[[#This Row],[Duration in years]]),0),0)</calculatedColumnFormula>
    </tableColumn>
  </tableColumns>
  <tableStyleInfo name="Startup Expenses" showFirstColumn="0" showLastColumn="1" showRowStripes="1" showColumnStripes="0"/>
  <extLst>
    <ext xmlns:x14="http://schemas.microsoft.com/office/spreadsheetml/2009/9/main" uri="{504A1905-F514-4f6f-8877-14C23A59335A}">
      <x14:table altTextSummary="Enter Bank Loans and amount in this table"/>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1E88832-1A15-419C-A184-AF76BBA4904A}" name="OtherLoans" displayName="OtherLoans" ref="A90:G93" totalsRowCount="1" headerRowDxfId="45" dataDxfId="44" totalsRowDxfId="43">
  <tableColumns count="7">
    <tableColumn id="1" xr3:uid="{0E41D807-995D-4C96-9FB0-E4074B724522}" name="OTHER LOANS" totalsRowLabel="Total" dataDxfId="41" totalsRowDxfId="42"/>
    <tableColumn id="3" xr3:uid="{44B8CC17-4CCC-417A-8348-A8C0366FE690}" name=" " dataDxfId="39" totalsRowDxfId="40"/>
    <tableColumn id="2" xr3:uid="{9B87960A-716A-47CF-A7D6-D5A6438E48C5}" name="AMOUNT" totalsRowFunction="sum" dataDxfId="37" totalsRowDxfId="38"/>
    <tableColumn id="4" xr3:uid="{CEF45F60-220A-4160-9172-B37977920EC0}" name="Duration in years" dataDxfId="35" totalsRowDxfId="36"/>
    <tableColumn id="5" xr3:uid="{83827F9F-B0EC-49A8-A743-2BC3560606D7}" name="Interest rate" dataDxfId="33" totalsRowDxfId="34"/>
    <tableColumn id="6" xr3:uid="{D9B940D7-AFF7-4BA9-BA47-7CA175160C73}" name="Year 1" totalsRowFunction="sum" dataDxfId="31" totalsRowDxfId="32">
      <calculatedColumnFormula>IF(OtherLoans[[#This Row],[AMOUNT]]&gt;0,OtherLoans[[#This Row],[AMOUNT]]-OtherLoans[[#This Row],[AMOUNT]]/OtherLoans[[#This Row],[Duration in years]],0)</calculatedColumnFormula>
    </tableColumn>
    <tableColumn id="7" xr3:uid="{50E28423-E5F9-45E6-B3D7-83C3C4CB796D}" name="Year 2" totalsRowFunction="sum" dataDxfId="29" totalsRowDxfId="30">
      <calculatedColumnFormula>IF(OtherLoans[[#This Row],[AMOUNT]]&gt;0,MAX(OtherLoans[[#This Row],[AMOUNT]]-2*(OtherLoans[[#This Row],[AMOUNT]]/OtherLoans[[#This Row],[Duration in years]]),0),0)</calculatedColumnFormula>
    </tableColumn>
  </tableColumns>
  <tableStyleInfo name="Startup Expenses" showFirstColumn="0" showLastColumn="1" showRowStripes="1" showColumnStripes="0"/>
  <extLst>
    <ext xmlns:x14="http://schemas.microsoft.com/office/spreadsheetml/2009/9/main" uri="{504A1905-F514-4f6f-8877-14C23A59335A}">
      <x14:table altTextSummary="Enter Other Loans and amount in this table"/>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12870B8-53EF-48CA-8C0F-D4A5D6E7BE1E}" name="CapitalSources" displayName="CapitalSources" ref="A97:C101" totalsRowCount="1" headerRowDxfId="28" dataDxfId="27" totalsRowDxfId="26">
  <tableColumns count="3">
    <tableColumn id="1" xr3:uid="{DC1825F8-C64A-406D-9C0A-47F1FEF16A0F}" name="SOURCE OF CAPITAL" totalsRowLabel="Total" dataDxfId="24" totalsRowDxfId="25"/>
    <tableColumn id="3" xr3:uid="{24320D2A-59CC-423B-AA60-4B5C96180D53}" name=" " dataDxfId="22" totalsRowDxfId="23"/>
    <tableColumn id="2" xr3:uid="{EB4A6941-A66B-4D1F-BD2E-77FB32E1477C}" name="TOTALS" totalsRowFunction="sum" dataDxfId="20" totalsRowDxfId="21"/>
  </tableColumns>
  <tableStyleInfo name="Startup Expenses" showFirstColumn="0" showLastColumn="1" showRowStripes="1" showColumnStripes="0"/>
  <extLst>
    <ext xmlns:x14="http://schemas.microsoft.com/office/spreadsheetml/2009/9/main" uri="{504A1905-F514-4f6f-8877-14C23A59335A}">
      <x14:table altTextSummary="Source of Capital items and Totals are auto updated in this table"/>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A04165F-CBEB-4BF1-A930-EB29496C0A7E}" name="StartupExpenses" displayName="StartupExpenses" ref="A62:C71" totalsRowCount="1" headerRowDxfId="19" dataDxfId="18" totalsRowDxfId="17">
  <tableColumns count="3">
    <tableColumn id="1" xr3:uid="{D50C4910-D60B-4DE7-A737-16CE6FCCBEA2}" name="STARTUP EXPENSES" totalsRowLabel="Total" dataDxfId="15" totalsRowDxfId="16"/>
    <tableColumn id="3" xr3:uid="{C3909FBB-506C-483E-A666-009D5874240E}" name=" " dataDxfId="13" totalsRowDxfId="14"/>
    <tableColumn id="2" xr3:uid="{CFAFFB40-ADA7-4A6B-B0E9-D13E272B7852}" name="TOTALS" totalsRowFunction="sum" dataDxfId="11" totalsRowDxfId="12"/>
  </tableColumns>
  <tableStyleInfo name="Startup Expenses" showFirstColumn="0" showLastColumn="0" showRowStripes="1" showColumnStripes="0"/>
  <extLst>
    <ext xmlns:x14="http://schemas.microsoft.com/office/spreadsheetml/2009/9/main" uri="{504A1905-F514-4f6f-8877-14C23A59335A}">
      <x14:table altTextSummary="Startup Expense items and Totals are auto updated in this table"/>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6EA787BA-6245-4E90-81E7-C029E5318EE4}" name="Owners" displayName="Owners" ref="A113:A116" totalsRowShown="0" headerRowDxfId="10" dataDxfId="9" tableBorderDxfId="8">
  <tableColumns count="1">
    <tableColumn id="1" xr3:uid="{A421CBA2-13F3-412A-8342-9ED702A404F6}" name="OWNERS" dataDxfId="7"/>
  </tableColumns>
  <tableStyleInfo name="Startup Expenses" showFirstColumn="0" showLastColumn="0" showRowStripes="0" showColumnStripes="0"/>
  <extLst>
    <ext xmlns:x14="http://schemas.microsoft.com/office/spreadsheetml/2009/9/main" uri="{504A1905-F514-4f6f-8877-14C23A59335A}">
      <x14:table altTextSummary="Enter Owners name in this table"/>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E2DEBBB-9D9A-4E92-BCB3-7F0F92C55BDC}" name="Guarantors" displayName="Guarantors" ref="A118:A121" totalsRowShown="0" headerRowDxfId="6" dataDxfId="5" tableBorderDxfId="4">
  <tableColumns count="1">
    <tableColumn id="1" xr3:uid="{A88C5E0D-4AFC-4524-ABDD-165C8A0798C1}" name="LOAN GUARANTORS (OTHER THAN OWNERS)" dataDxfId="3"/>
  </tableColumns>
  <tableStyleInfo name="Startup Expenses" showFirstColumn="0" showLastColumn="0" showRowStripes="0" showColumnStripes="0"/>
  <extLst>
    <ext xmlns:x14="http://schemas.microsoft.com/office/spreadsheetml/2009/9/main" uri="{504A1905-F514-4f6f-8877-14C23A59335A}">
      <x14:table altTextSummary="Enter Names of Loan Guarantors Other Than Owners in this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0-02-12T17:18:37.62" personId="{E60D3617-0C55-4912-824E-B49C615E546C}" id="{8C5279FD-4AEF-48A2-AE78-73B15BCDCA79}">
    <text>CHANNEL PHASES
1. Awareness
2. Evaluation
3. Purchase
4. Delivery
5. After sales</text>
  </threadedComment>
</ThreadedComments>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en.wikipedia.org/wiki/Business_Model_Canvas" TargetMode="External"/><Relationship Id="rId7" Type="http://schemas.openxmlformats.org/officeDocument/2006/relationships/printerSettings" Target="../printerSettings/printerSettings1.bin"/><Relationship Id="rId2" Type="http://schemas.openxmlformats.org/officeDocument/2006/relationships/hyperlink" Target="http://www.youtube.com/watch?v=QoAOzMTLP5s" TargetMode="External"/><Relationship Id="rId1" Type="http://schemas.openxmlformats.org/officeDocument/2006/relationships/hyperlink" Target="http://www.youtube.com/watch?v=QoAOzMTLP5s" TargetMode="External"/><Relationship Id="rId6" Type="http://schemas.openxmlformats.org/officeDocument/2006/relationships/hyperlink" Target="https://www.youtube.com/watch?v=WqjM2DdgUnA" TargetMode="External"/><Relationship Id="rId5" Type="http://schemas.openxmlformats.org/officeDocument/2006/relationships/hyperlink" Target="https://blog.leanstack.com/why-lean-canvas-vs-business-model-canvas-af62c0f250f0" TargetMode="External"/><Relationship Id="rId10" Type="http://schemas.openxmlformats.org/officeDocument/2006/relationships/comments" Target="../comments1.xml"/><Relationship Id="rId4" Type="http://schemas.openxmlformats.org/officeDocument/2006/relationships/hyperlink" Target="http://en.wikipedia.org/wiki/Business_Model_Canvas"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neoschronos.com/" TargetMode="External"/><Relationship Id="rId13" Type="http://schemas.openxmlformats.org/officeDocument/2006/relationships/hyperlink" Target="https://neoschronos.com/" TargetMode="External"/><Relationship Id="rId18" Type="http://schemas.openxmlformats.org/officeDocument/2006/relationships/hyperlink" Target="https://neoschronos.com/" TargetMode="External"/><Relationship Id="rId26" Type="http://schemas.openxmlformats.org/officeDocument/2006/relationships/vmlDrawing" Target="../drawings/vmlDrawing3.vml"/><Relationship Id="rId3" Type="http://schemas.openxmlformats.org/officeDocument/2006/relationships/hyperlink" Target="https://www.peterjthomson.com/2013/11/value-proposition-canvas/" TargetMode="External"/><Relationship Id="rId21" Type="http://schemas.openxmlformats.org/officeDocument/2006/relationships/hyperlink" Target="https://neoschronos.com/" TargetMode="External"/><Relationship Id="rId7" Type="http://schemas.openxmlformats.org/officeDocument/2006/relationships/hyperlink" Target="https://neoschronos.com/" TargetMode="External"/><Relationship Id="rId12" Type="http://schemas.openxmlformats.org/officeDocument/2006/relationships/hyperlink" Target="https://neoschronos.com/" TargetMode="External"/><Relationship Id="rId17" Type="http://schemas.openxmlformats.org/officeDocument/2006/relationships/hyperlink" Target="https://neoschronos.com/" TargetMode="External"/><Relationship Id="rId25" Type="http://schemas.openxmlformats.org/officeDocument/2006/relationships/drawing" Target="../drawings/drawing7.xml"/><Relationship Id="rId2" Type="http://schemas.openxmlformats.org/officeDocument/2006/relationships/hyperlink" Target="https://www.peterjthomson.com/2013/11/value-proposition-canvas/" TargetMode="External"/><Relationship Id="rId16" Type="http://schemas.openxmlformats.org/officeDocument/2006/relationships/hyperlink" Target="https://neoschronos.com/" TargetMode="External"/><Relationship Id="rId20" Type="http://schemas.openxmlformats.org/officeDocument/2006/relationships/hyperlink" Target="https://neoschronos.com/" TargetMode="External"/><Relationship Id="rId1" Type="http://schemas.openxmlformats.org/officeDocument/2006/relationships/hyperlink" Target="http://www.youtube.com/watch?v=7o8uYdUaFR4" TargetMode="External"/><Relationship Id="rId6" Type="http://schemas.openxmlformats.org/officeDocument/2006/relationships/hyperlink" Target="https://neoschronos.com/" TargetMode="External"/><Relationship Id="rId11" Type="http://schemas.openxmlformats.org/officeDocument/2006/relationships/hyperlink" Target="https://neoschronos.com/" TargetMode="External"/><Relationship Id="rId24" Type="http://schemas.openxmlformats.org/officeDocument/2006/relationships/printerSettings" Target="../printerSettings/printerSettings3.bin"/><Relationship Id="rId5" Type="http://schemas.openxmlformats.org/officeDocument/2006/relationships/hyperlink" Target="https://neoschronos.com/" TargetMode="External"/><Relationship Id="rId15" Type="http://schemas.openxmlformats.org/officeDocument/2006/relationships/hyperlink" Target="https://neoschronos.com/" TargetMode="External"/><Relationship Id="rId23" Type="http://schemas.openxmlformats.org/officeDocument/2006/relationships/hyperlink" Target="https://neoschronos.com/" TargetMode="External"/><Relationship Id="rId10" Type="http://schemas.openxmlformats.org/officeDocument/2006/relationships/hyperlink" Target="https://neoschronos.com/" TargetMode="External"/><Relationship Id="rId19" Type="http://schemas.openxmlformats.org/officeDocument/2006/relationships/hyperlink" Target="https://neoschronos.com/" TargetMode="External"/><Relationship Id="rId4" Type="http://schemas.openxmlformats.org/officeDocument/2006/relationships/hyperlink" Target="https://neoschronos.com/" TargetMode="External"/><Relationship Id="rId9" Type="http://schemas.openxmlformats.org/officeDocument/2006/relationships/hyperlink" Target="https://neoschronos.com/" TargetMode="External"/><Relationship Id="rId14" Type="http://schemas.openxmlformats.org/officeDocument/2006/relationships/hyperlink" Target="https://neoschronos.com/" TargetMode="External"/><Relationship Id="rId22" Type="http://schemas.openxmlformats.org/officeDocument/2006/relationships/hyperlink" Target="https://neoschronos.com/" TargetMode="External"/><Relationship Id="rId27"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comments" Target="../comments5.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vmlDrawing" Target="../drawings/vmlDrawing5.vml"/><Relationship Id="rId16" Type="http://schemas.openxmlformats.org/officeDocument/2006/relationships/table" Target="../tables/table14.xml"/><Relationship Id="rId1" Type="http://schemas.openxmlformats.org/officeDocument/2006/relationships/printerSettings" Target="../printerSettings/printerSettings5.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408CB-79C4-408F-96AB-DD842F9D5F05}">
  <sheetPr codeName="Sheet1">
    <pageSetUpPr fitToPage="1"/>
  </sheetPr>
  <dimension ref="B1:Y75"/>
  <sheetViews>
    <sheetView tabSelected="1" zoomScale="90" zoomScaleNormal="90" workbookViewId="0">
      <selection activeCell="S7" sqref="S7"/>
    </sheetView>
  </sheetViews>
  <sheetFormatPr defaultColWidth="10.875" defaultRowHeight="15"/>
  <cols>
    <col min="1" max="22" width="10.875" style="1" customWidth="1"/>
    <col min="23" max="23" width="10.875" style="1"/>
    <col min="24" max="24" width="12.75" style="1" customWidth="1"/>
    <col min="25" max="16384" width="10.875" style="1"/>
  </cols>
  <sheetData>
    <row r="1" spans="2:25" ht="15" customHeight="1"/>
    <row r="2" spans="2:25" ht="1.5" customHeight="1"/>
    <row r="3" spans="2:25">
      <c r="B3" s="729" t="s">
        <v>0</v>
      </c>
      <c r="C3" s="729"/>
      <c r="D3" s="729"/>
      <c r="E3" s="729"/>
      <c r="F3" s="729"/>
      <c r="G3" s="729"/>
      <c r="H3" s="729"/>
      <c r="J3" s="514" t="s">
        <v>1</v>
      </c>
      <c r="K3" s="514"/>
      <c r="L3" s="514"/>
      <c r="M3" s="2"/>
      <c r="N3" s="514" t="s">
        <v>2</v>
      </c>
      <c r="O3" s="514"/>
      <c r="P3" s="514"/>
      <c r="Q3" s="2"/>
      <c r="R3" s="514" t="s">
        <v>3</v>
      </c>
      <c r="S3" s="514"/>
      <c r="T3" s="2"/>
      <c r="U3" s="406" t="s">
        <v>4</v>
      </c>
      <c r="W3" s="514" t="s">
        <v>5</v>
      </c>
      <c r="X3" s="514"/>
    </row>
    <row r="4" spans="2:25" ht="15.75">
      <c r="B4" s="729"/>
      <c r="C4" s="729"/>
      <c r="D4" s="729"/>
      <c r="E4" s="729"/>
      <c r="F4" s="729"/>
      <c r="G4" s="729"/>
      <c r="H4" s="729"/>
      <c r="J4" s="515" t="s">
        <v>6</v>
      </c>
      <c r="K4" s="515"/>
      <c r="L4" s="515"/>
      <c r="N4" s="515"/>
      <c r="O4" s="515"/>
      <c r="P4" s="515"/>
      <c r="R4" s="516"/>
      <c r="S4" s="516"/>
      <c r="U4" s="517"/>
      <c r="W4" s="489" t="s">
        <v>7</v>
      </c>
      <c r="X4" s="490"/>
      <c r="Y4" s="139"/>
    </row>
    <row r="5" spans="2:25" ht="15" customHeight="1">
      <c r="B5" s="729"/>
      <c r="C5" s="729"/>
      <c r="D5" s="729"/>
      <c r="E5" s="729"/>
      <c r="F5" s="729"/>
      <c r="G5" s="729"/>
      <c r="H5" s="729"/>
      <c r="J5" s="515"/>
      <c r="K5" s="515"/>
      <c r="L5" s="515"/>
      <c r="N5" s="515"/>
      <c r="O5" s="515"/>
      <c r="P5" s="515"/>
      <c r="R5" s="516"/>
      <c r="S5" s="516"/>
      <c r="U5" s="517"/>
      <c r="W5" s="489" t="s">
        <v>8</v>
      </c>
      <c r="X5" s="490"/>
      <c r="Y5" s="139"/>
    </row>
    <row r="6" spans="2:25" ht="18">
      <c r="B6" s="442" t="s">
        <v>9</v>
      </c>
      <c r="W6" s="489"/>
      <c r="X6" s="490"/>
      <c r="Y6" s="139"/>
    </row>
    <row r="7" spans="2:25" ht="35.25" customHeight="1">
      <c r="B7" s="443" t="s">
        <v>10</v>
      </c>
      <c r="W7" s="3"/>
    </row>
    <row r="8" spans="2:25" ht="15" customHeight="1">
      <c r="B8" s="501" t="s">
        <v>11</v>
      </c>
      <c r="C8" s="502"/>
      <c r="D8" s="502"/>
      <c r="E8" s="503"/>
      <c r="F8" s="501" t="s">
        <v>12</v>
      </c>
      <c r="G8" s="502"/>
      <c r="H8" s="502"/>
      <c r="I8" s="503"/>
      <c r="J8" s="508" t="s">
        <v>13</v>
      </c>
      <c r="K8" s="509"/>
      <c r="L8" s="509"/>
      <c r="M8" s="510"/>
      <c r="N8" s="501" t="s">
        <v>14</v>
      </c>
      <c r="O8" s="502"/>
      <c r="P8" s="502"/>
      <c r="Q8" s="503"/>
      <c r="R8" s="501" t="s">
        <v>15</v>
      </c>
      <c r="S8" s="502"/>
      <c r="T8" s="502"/>
      <c r="U8" s="503"/>
      <c r="W8" s="3"/>
    </row>
    <row r="9" spans="2:25" ht="15" customHeight="1">
      <c r="B9" s="504"/>
      <c r="C9" s="479"/>
      <c r="D9" s="479"/>
      <c r="E9" s="505"/>
      <c r="F9" s="504"/>
      <c r="G9" s="474"/>
      <c r="H9" s="474"/>
      <c r="I9" s="505"/>
      <c r="J9" s="511"/>
      <c r="K9" s="512"/>
      <c r="L9" s="512"/>
      <c r="M9" s="513"/>
      <c r="N9" s="504"/>
      <c r="O9" s="479"/>
      <c r="P9" s="479"/>
      <c r="Q9" s="505"/>
      <c r="R9" s="504"/>
      <c r="S9" s="479"/>
      <c r="T9" s="479"/>
      <c r="U9" s="505"/>
    </row>
    <row r="10" spans="2:25" ht="23.25" customHeight="1">
      <c r="B10" s="491"/>
      <c r="C10" s="492"/>
      <c r="D10" s="492"/>
      <c r="E10" s="493"/>
      <c r="F10" s="491"/>
      <c r="G10" s="492"/>
      <c r="H10" s="492"/>
      <c r="I10" s="493"/>
      <c r="J10" s="469"/>
      <c r="K10" s="470"/>
      <c r="L10" s="470"/>
      <c r="M10" s="471"/>
      <c r="N10" s="491"/>
      <c r="O10" s="492"/>
      <c r="P10" s="492"/>
      <c r="Q10" s="493"/>
      <c r="R10" s="491"/>
      <c r="S10" s="492"/>
      <c r="T10" s="492"/>
      <c r="U10" s="493"/>
    </row>
    <row r="11" spans="2:25" ht="15" customHeight="1">
      <c r="B11" s="494"/>
      <c r="C11" s="484"/>
      <c r="D11" s="484"/>
      <c r="E11" s="495"/>
      <c r="F11" s="494"/>
      <c r="G11" s="484"/>
      <c r="H11" s="484"/>
      <c r="I11" s="495"/>
      <c r="J11" s="462"/>
      <c r="K11" s="463"/>
      <c r="L11" s="463"/>
      <c r="M11" s="464"/>
      <c r="N11" s="494"/>
      <c r="O11" s="484"/>
      <c r="P11" s="484"/>
      <c r="Q11" s="495"/>
      <c r="R11" s="494"/>
      <c r="S11" s="484"/>
      <c r="T11" s="484"/>
      <c r="U11" s="495"/>
    </row>
    <row r="12" spans="2:25" ht="15" customHeight="1">
      <c r="B12" s="494"/>
      <c r="C12" s="484"/>
      <c r="D12" s="484"/>
      <c r="E12" s="495"/>
      <c r="F12" s="494"/>
      <c r="G12" s="484"/>
      <c r="H12" s="484"/>
      <c r="I12" s="495"/>
      <c r="J12" s="465"/>
      <c r="K12" s="463"/>
      <c r="L12" s="463"/>
      <c r="M12" s="464"/>
      <c r="N12" s="494"/>
      <c r="O12" s="484"/>
      <c r="P12" s="484"/>
      <c r="Q12" s="495"/>
      <c r="R12" s="494"/>
      <c r="S12" s="484"/>
      <c r="T12" s="484"/>
      <c r="U12" s="495"/>
    </row>
    <row r="13" spans="2:25" ht="15" customHeight="1">
      <c r="B13" s="494"/>
      <c r="C13" s="484"/>
      <c r="D13" s="484"/>
      <c r="E13" s="495"/>
      <c r="F13" s="494"/>
      <c r="G13" s="484"/>
      <c r="H13" s="484"/>
      <c r="I13" s="495"/>
      <c r="J13" s="465"/>
      <c r="K13" s="463"/>
      <c r="L13" s="463"/>
      <c r="M13" s="464"/>
      <c r="N13" s="494"/>
      <c r="O13" s="484"/>
      <c r="P13" s="484"/>
      <c r="Q13" s="495"/>
      <c r="R13" s="494"/>
      <c r="S13" s="484"/>
      <c r="T13" s="484"/>
      <c r="U13" s="495"/>
    </row>
    <row r="14" spans="2:25" ht="15" customHeight="1">
      <c r="B14" s="494"/>
      <c r="C14" s="484"/>
      <c r="D14" s="484"/>
      <c r="E14" s="495"/>
      <c r="F14" s="494"/>
      <c r="G14" s="484"/>
      <c r="H14" s="484"/>
      <c r="I14" s="495"/>
      <c r="J14" s="465"/>
      <c r="K14" s="463"/>
      <c r="L14" s="463"/>
      <c r="M14" s="464"/>
      <c r="N14" s="494"/>
      <c r="O14" s="484"/>
      <c r="P14" s="484"/>
      <c r="Q14" s="495"/>
      <c r="R14" s="494"/>
      <c r="S14" s="484"/>
      <c r="T14" s="484"/>
      <c r="U14" s="495"/>
    </row>
    <row r="15" spans="2:25" ht="15" customHeight="1">
      <c r="B15" s="494"/>
      <c r="C15" s="484"/>
      <c r="D15" s="484"/>
      <c r="E15" s="495"/>
      <c r="F15" s="494"/>
      <c r="G15" s="484"/>
      <c r="H15" s="484"/>
      <c r="I15" s="495"/>
      <c r="J15" s="465"/>
      <c r="K15" s="463"/>
      <c r="L15" s="463"/>
      <c r="M15" s="464"/>
      <c r="N15" s="494"/>
      <c r="O15" s="484"/>
      <c r="P15" s="484"/>
      <c r="Q15" s="495"/>
      <c r="R15" s="494"/>
      <c r="S15" s="484"/>
      <c r="T15" s="484"/>
      <c r="U15" s="495"/>
    </row>
    <row r="16" spans="2:25" ht="15" customHeight="1">
      <c r="B16" s="494"/>
      <c r="C16" s="484"/>
      <c r="D16" s="484"/>
      <c r="E16" s="495"/>
      <c r="F16" s="494"/>
      <c r="G16" s="484"/>
      <c r="H16" s="484"/>
      <c r="I16" s="495"/>
      <c r="J16" s="465"/>
      <c r="K16" s="463"/>
      <c r="L16" s="463"/>
      <c r="M16" s="464"/>
      <c r="N16" s="494"/>
      <c r="O16" s="484"/>
      <c r="P16" s="484"/>
      <c r="Q16" s="495"/>
      <c r="R16" s="494"/>
      <c r="S16" s="484"/>
      <c r="T16" s="484"/>
      <c r="U16" s="495"/>
    </row>
    <row r="17" spans="2:21" ht="15" customHeight="1">
      <c r="B17" s="494"/>
      <c r="C17" s="484"/>
      <c r="D17" s="484"/>
      <c r="E17" s="495"/>
      <c r="F17" s="494"/>
      <c r="G17" s="484"/>
      <c r="H17" s="484"/>
      <c r="I17" s="495"/>
      <c r="J17" s="465"/>
      <c r="K17" s="463"/>
      <c r="L17" s="463"/>
      <c r="M17" s="464"/>
      <c r="N17" s="494"/>
      <c r="O17" s="484"/>
      <c r="P17" s="484"/>
      <c r="Q17" s="495"/>
      <c r="R17" s="494"/>
      <c r="S17" s="484"/>
      <c r="T17" s="484"/>
      <c r="U17" s="495"/>
    </row>
    <row r="18" spans="2:21" ht="15" customHeight="1">
      <c r="B18" s="494"/>
      <c r="C18" s="484"/>
      <c r="D18" s="484"/>
      <c r="E18" s="495"/>
      <c r="F18" s="494"/>
      <c r="G18" s="484"/>
      <c r="H18" s="484"/>
      <c r="I18" s="495"/>
      <c r="J18" s="465"/>
      <c r="K18" s="463"/>
      <c r="L18" s="463"/>
      <c r="M18" s="464"/>
      <c r="N18" s="494"/>
      <c r="O18" s="484"/>
      <c r="P18" s="484"/>
      <c r="Q18" s="495"/>
      <c r="R18" s="494"/>
      <c r="S18" s="484"/>
      <c r="T18" s="484"/>
      <c r="U18" s="495"/>
    </row>
    <row r="19" spans="2:21" ht="15" customHeight="1">
      <c r="B19" s="494"/>
      <c r="C19" s="484"/>
      <c r="D19" s="484"/>
      <c r="E19" s="495"/>
      <c r="F19" s="494"/>
      <c r="G19" s="484"/>
      <c r="H19" s="484"/>
      <c r="I19" s="495"/>
      <c r="J19" s="465"/>
      <c r="K19" s="463"/>
      <c r="L19" s="463"/>
      <c r="M19" s="464"/>
      <c r="N19" s="494"/>
      <c r="O19" s="484"/>
      <c r="P19" s="484"/>
      <c r="Q19" s="495"/>
      <c r="R19" s="494"/>
      <c r="S19" s="484"/>
      <c r="T19" s="484"/>
      <c r="U19" s="495"/>
    </row>
    <row r="20" spans="2:21" ht="15" customHeight="1">
      <c r="B20" s="494"/>
      <c r="C20" s="484"/>
      <c r="D20" s="484"/>
      <c r="E20" s="495"/>
      <c r="F20" s="494"/>
      <c r="G20" s="484"/>
      <c r="H20" s="484"/>
      <c r="I20" s="495"/>
      <c r="J20" s="465"/>
      <c r="K20" s="463"/>
      <c r="L20" s="463"/>
      <c r="M20" s="464"/>
      <c r="N20" s="494"/>
      <c r="O20" s="484"/>
      <c r="P20" s="484"/>
      <c r="Q20" s="495"/>
      <c r="R20" s="494"/>
      <c r="S20" s="484"/>
      <c r="T20" s="484"/>
      <c r="U20" s="495"/>
    </row>
    <row r="21" spans="2:21" ht="15" customHeight="1">
      <c r="B21" s="494"/>
      <c r="C21" s="484"/>
      <c r="D21" s="484"/>
      <c r="E21" s="495"/>
      <c r="F21" s="494"/>
      <c r="G21" s="484"/>
      <c r="H21" s="484"/>
      <c r="I21" s="495"/>
      <c r="J21" s="465"/>
      <c r="K21" s="463"/>
      <c r="L21" s="463"/>
      <c r="M21" s="464"/>
      <c r="N21" s="494"/>
      <c r="O21" s="484"/>
      <c r="P21" s="484"/>
      <c r="Q21" s="495"/>
      <c r="R21" s="494"/>
      <c r="S21" s="484"/>
      <c r="T21" s="484"/>
      <c r="U21" s="495"/>
    </row>
    <row r="22" spans="2:21" ht="15" customHeight="1">
      <c r="B22" s="494"/>
      <c r="C22" s="484"/>
      <c r="D22" s="484"/>
      <c r="E22" s="495"/>
      <c r="F22" s="494"/>
      <c r="G22" s="484"/>
      <c r="H22" s="484"/>
      <c r="I22" s="495"/>
      <c r="J22" s="465"/>
      <c r="K22" s="463"/>
      <c r="L22" s="463"/>
      <c r="M22" s="464"/>
      <c r="N22" s="494"/>
      <c r="O22" s="484"/>
      <c r="P22" s="484"/>
      <c r="Q22" s="495"/>
      <c r="R22" s="494"/>
      <c r="S22" s="484"/>
      <c r="T22" s="484"/>
      <c r="U22" s="495"/>
    </row>
    <row r="23" spans="2:21" ht="15" customHeight="1">
      <c r="B23" s="494"/>
      <c r="C23" s="484"/>
      <c r="D23" s="484"/>
      <c r="E23" s="495"/>
      <c r="F23" s="494"/>
      <c r="G23" s="484"/>
      <c r="H23" s="484"/>
      <c r="I23" s="495"/>
      <c r="J23" s="465"/>
      <c r="K23" s="463"/>
      <c r="L23" s="463"/>
      <c r="M23" s="464"/>
      <c r="N23" s="494"/>
      <c r="O23" s="484"/>
      <c r="P23" s="484"/>
      <c r="Q23" s="495"/>
      <c r="R23" s="494"/>
      <c r="S23" s="484"/>
      <c r="T23" s="484"/>
      <c r="U23" s="495"/>
    </row>
    <row r="24" spans="2:21" ht="15" customHeight="1">
      <c r="B24" s="494"/>
      <c r="C24" s="484"/>
      <c r="D24" s="484"/>
      <c r="E24" s="495"/>
      <c r="F24" s="494"/>
      <c r="G24" s="484"/>
      <c r="H24" s="484"/>
      <c r="I24" s="495"/>
      <c r="J24" s="465"/>
      <c r="K24" s="463"/>
      <c r="L24" s="463"/>
      <c r="M24" s="464"/>
      <c r="N24" s="494"/>
      <c r="O24" s="484"/>
      <c r="P24" s="484"/>
      <c r="Q24" s="495"/>
      <c r="R24" s="494"/>
      <c r="S24" s="484"/>
      <c r="T24" s="484"/>
      <c r="U24" s="495"/>
    </row>
    <row r="25" spans="2:21" ht="15" customHeight="1">
      <c r="B25" s="494"/>
      <c r="C25" s="484"/>
      <c r="D25" s="484"/>
      <c r="E25" s="495"/>
      <c r="F25" s="494"/>
      <c r="G25" s="484"/>
      <c r="H25" s="484"/>
      <c r="I25" s="495"/>
      <c r="J25" s="465"/>
      <c r="K25" s="463"/>
      <c r="L25" s="463"/>
      <c r="M25" s="464"/>
      <c r="N25" s="494"/>
      <c r="O25" s="484"/>
      <c r="P25" s="484"/>
      <c r="Q25" s="495"/>
      <c r="R25" s="494"/>
      <c r="S25" s="484"/>
      <c r="T25" s="484"/>
      <c r="U25" s="495"/>
    </row>
    <row r="26" spans="2:21" ht="15" customHeight="1">
      <c r="B26" s="494"/>
      <c r="C26" s="484"/>
      <c r="D26" s="484"/>
      <c r="E26" s="495"/>
      <c r="F26" s="494"/>
      <c r="G26" s="484"/>
      <c r="H26" s="484"/>
      <c r="I26" s="495"/>
      <c r="J26" s="465"/>
      <c r="K26" s="463"/>
      <c r="L26" s="463"/>
      <c r="M26" s="464"/>
      <c r="N26" s="494"/>
      <c r="O26" s="484"/>
      <c r="P26" s="484"/>
      <c r="Q26" s="495"/>
      <c r="R26" s="494"/>
      <c r="S26" s="484"/>
      <c r="T26" s="484"/>
      <c r="U26" s="495"/>
    </row>
    <row r="27" spans="2:21" ht="15" customHeight="1">
      <c r="B27" s="494"/>
      <c r="C27" s="484"/>
      <c r="D27" s="484"/>
      <c r="E27" s="495"/>
      <c r="F27" s="496"/>
      <c r="G27" s="497"/>
      <c r="H27" s="497"/>
      <c r="I27" s="498"/>
      <c r="J27" s="465"/>
      <c r="K27" s="463"/>
      <c r="L27" s="463"/>
      <c r="M27" s="464"/>
      <c r="N27" s="496"/>
      <c r="O27" s="497"/>
      <c r="P27" s="497"/>
      <c r="Q27" s="498"/>
      <c r="R27" s="494"/>
      <c r="S27" s="484"/>
      <c r="T27" s="484"/>
      <c r="U27" s="495"/>
    </row>
    <row r="28" spans="2:21" ht="15" customHeight="1">
      <c r="B28" s="494"/>
      <c r="C28" s="484"/>
      <c r="D28" s="484"/>
      <c r="E28" s="495"/>
      <c r="F28" s="501" t="s">
        <v>16</v>
      </c>
      <c r="G28" s="502"/>
      <c r="H28" s="502"/>
      <c r="I28" s="503"/>
      <c r="J28" s="465"/>
      <c r="K28" s="463"/>
      <c r="L28" s="463"/>
      <c r="M28" s="464"/>
      <c r="N28" s="501" t="s">
        <v>17</v>
      </c>
      <c r="O28" s="502"/>
      <c r="P28" s="502"/>
      <c r="Q28" s="503"/>
      <c r="R28" s="494"/>
      <c r="S28" s="484"/>
      <c r="T28" s="484"/>
      <c r="U28" s="495"/>
    </row>
    <row r="29" spans="2:21" ht="15" customHeight="1">
      <c r="B29" s="494"/>
      <c r="C29" s="484"/>
      <c r="D29" s="484"/>
      <c r="E29" s="495"/>
      <c r="F29" s="504"/>
      <c r="G29" s="479"/>
      <c r="H29" s="479"/>
      <c r="I29" s="505"/>
      <c r="J29" s="465"/>
      <c r="K29" s="463"/>
      <c r="L29" s="463"/>
      <c r="M29" s="464"/>
      <c r="N29" s="504"/>
      <c r="O29" s="479"/>
      <c r="P29" s="479"/>
      <c r="Q29" s="505"/>
      <c r="R29" s="494"/>
      <c r="S29" s="484"/>
      <c r="T29" s="484"/>
      <c r="U29" s="495"/>
    </row>
    <row r="30" spans="2:21" ht="15" customHeight="1">
      <c r="B30" s="494"/>
      <c r="C30" s="484"/>
      <c r="D30" s="484"/>
      <c r="E30" s="495"/>
      <c r="F30" s="491"/>
      <c r="G30" s="492"/>
      <c r="H30" s="492"/>
      <c r="I30" s="493"/>
      <c r="J30" s="465"/>
      <c r="K30" s="463"/>
      <c r="L30" s="463"/>
      <c r="M30" s="464"/>
      <c r="N30" s="491"/>
      <c r="O30" s="492"/>
      <c r="P30" s="492"/>
      <c r="Q30" s="493"/>
      <c r="R30" s="494"/>
      <c r="S30" s="484"/>
      <c r="T30" s="484"/>
      <c r="U30" s="495"/>
    </row>
    <row r="31" spans="2:21" ht="15" customHeight="1">
      <c r="B31" s="494"/>
      <c r="C31" s="484"/>
      <c r="D31" s="484"/>
      <c r="E31" s="495"/>
      <c r="F31" s="494"/>
      <c r="G31" s="484"/>
      <c r="H31" s="484"/>
      <c r="I31" s="495"/>
      <c r="J31" s="465"/>
      <c r="K31" s="463"/>
      <c r="L31" s="463"/>
      <c r="M31" s="464"/>
      <c r="N31" s="494"/>
      <c r="O31" s="484"/>
      <c r="P31" s="484"/>
      <c r="Q31" s="495"/>
      <c r="R31" s="494"/>
      <c r="S31" s="484"/>
      <c r="T31" s="484"/>
      <c r="U31" s="495"/>
    </row>
    <row r="32" spans="2:21" ht="15" customHeight="1">
      <c r="B32" s="494"/>
      <c r="C32" s="484"/>
      <c r="D32" s="484"/>
      <c r="E32" s="495"/>
      <c r="F32" s="494"/>
      <c r="G32" s="484"/>
      <c r="H32" s="484"/>
      <c r="I32" s="495"/>
      <c r="J32" s="465"/>
      <c r="K32" s="463"/>
      <c r="L32" s="463"/>
      <c r="M32" s="464"/>
      <c r="N32" s="494"/>
      <c r="O32" s="484"/>
      <c r="P32" s="484"/>
      <c r="Q32" s="495"/>
      <c r="R32" s="494"/>
      <c r="S32" s="484"/>
      <c r="T32" s="484"/>
      <c r="U32" s="495"/>
    </row>
    <row r="33" spans="2:21" ht="15" customHeight="1">
      <c r="B33" s="494"/>
      <c r="C33" s="484"/>
      <c r="D33" s="484"/>
      <c r="E33" s="495"/>
      <c r="F33" s="494"/>
      <c r="G33" s="484"/>
      <c r="H33" s="484"/>
      <c r="I33" s="495"/>
      <c r="J33" s="465"/>
      <c r="K33" s="463"/>
      <c r="L33" s="463"/>
      <c r="M33" s="464"/>
      <c r="N33" s="494"/>
      <c r="O33" s="484"/>
      <c r="P33" s="484"/>
      <c r="Q33" s="495"/>
      <c r="R33" s="494"/>
      <c r="S33" s="484"/>
      <c r="T33" s="484"/>
      <c r="U33" s="495"/>
    </row>
    <row r="34" spans="2:21" ht="15" customHeight="1">
      <c r="B34" s="494"/>
      <c r="C34" s="484"/>
      <c r="D34" s="484"/>
      <c r="E34" s="495"/>
      <c r="F34" s="494"/>
      <c r="G34" s="484"/>
      <c r="H34" s="484"/>
      <c r="I34" s="495"/>
      <c r="J34" s="465"/>
      <c r="K34" s="463"/>
      <c r="L34" s="463"/>
      <c r="M34" s="464"/>
      <c r="N34" s="494"/>
      <c r="O34" s="484"/>
      <c r="P34" s="484"/>
      <c r="Q34" s="495"/>
      <c r="R34" s="494"/>
      <c r="S34" s="484"/>
      <c r="T34" s="484"/>
      <c r="U34" s="495"/>
    </row>
    <row r="35" spans="2:21" ht="15" customHeight="1">
      <c r="B35" s="494"/>
      <c r="C35" s="484"/>
      <c r="D35" s="484"/>
      <c r="E35" s="495"/>
      <c r="F35" s="494"/>
      <c r="G35" s="484"/>
      <c r="H35" s="484"/>
      <c r="I35" s="495"/>
      <c r="J35" s="465"/>
      <c r="K35" s="463"/>
      <c r="L35" s="463"/>
      <c r="M35" s="464"/>
      <c r="N35" s="494"/>
      <c r="O35" s="484"/>
      <c r="P35" s="484"/>
      <c r="Q35" s="495"/>
      <c r="R35" s="494"/>
      <c r="S35" s="484"/>
      <c r="T35" s="484"/>
      <c r="U35" s="495"/>
    </row>
    <row r="36" spans="2:21" ht="15" customHeight="1">
      <c r="B36" s="494"/>
      <c r="C36" s="484"/>
      <c r="D36" s="484"/>
      <c r="E36" s="495"/>
      <c r="F36" s="494"/>
      <c r="G36" s="484"/>
      <c r="H36" s="484"/>
      <c r="I36" s="495"/>
      <c r="J36" s="465"/>
      <c r="K36" s="463"/>
      <c r="L36" s="463"/>
      <c r="M36" s="464"/>
      <c r="N36" s="494"/>
      <c r="O36" s="484"/>
      <c r="P36" s="484"/>
      <c r="Q36" s="495"/>
      <c r="R36" s="494"/>
      <c r="S36" s="484"/>
      <c r="T36" s="484"/>
      <c r="U36" s="495"/>
    </row>
    <row r="37" spans="2:21" ht="15" customHeight="1">
      <c r="B37" s="494"/>
      <c r="C37" s="484"/>
      <c r="D37" s="484"/>
      <c r="E37" s="495"/>
      <c r="F37" s="494"/>
      <c r="G37" s="484"/>
      <c r="H37" s="484"/>
      <c r="I37" s="495"/>
      <c r="J37" s="465"/>
      <c r="K37" s="463"/>
      <c r="L37" s="463"/>
      <c r="M37" s="464"/>
      <c r="N37" s="494"/>
      <c r="O37" s="484"/>
      <c r="P37" s="484"/>
      <c r="Q37" s="495"/>
      <c r="R37" s="494"/>
      <c r="S37" s="484"/>
      <c r="T37" s="484"/>
      <c r="U37" s="495"/>
    </row>
    <row r="38" spans="2:21" ht="15" customHeight="1">
      <c r="B38" s="494"/>
      <c r="C38" s="484"/>
      <c r="D38" s="484"/>
      <c r="E38" s="495"/>
      <c r="F38" s="494"/>
      <c r="G38" s="484"/>
      <c r="H38" s="484"/>
      <c r="I38" s="495"/>
      <c r="J38" s="465"/>
      <c r="K38" s="463"/>
      <c r="L38" s="463"/>
      <c r="M38" s="464"/>
      <c r="N38" s="494"/>
      <c r="O38" s="484"/>
      <c r="P38" s="484"/>
      <c r="Q38" s="495"/>
      <c r="R38" s="494"/>
      <c r="S38" s="484"/>
      <c r="T38" s="484"/>
      <c r="U38" s="495"/>
    </row>
    <row r="39" spans="2:21" ht="15" customHeight="1">
      <c r="B39" s="494"/>
      <c r="C39" s="484"/>
      <c r="D39" s="484"/>
      <c r="E39" s="495"/>
      <c r="F39" s="494"/>
      <c r="G39" s="484"/>
      <c r="H39" s="484"/>
      <c r="I39" s="495"/>
      <c r="J39" s="465"/>
      <c r="K39" s="463"/>
      <c r="L39" s="463"/>
      <c r="M39" s="464"/>
      <c r="N39" s="494"/>
      <c r="O39" s="484"/>
      <c r="P39" s="484"/>
      <c r="Q39" s="495"/>
      <c r="R39" s="494"/>
      <c r="S39" s="484"/>
      <c r="T39" s="484"/>
      <c r="U39" s="495"/>
    </row>
    <row r="40" spans="2:21" ht="15" customHeight="1">
      <c r="B40" s="494"/>
      <c r="C40" s="484"/>
      <c r="D40" s="484"/>
      <c r="E40" s="495"/>
      <c r="F40" s="494"/>
      <c r="G40" s="484"/>
      <c r="H40" s="484"/>
      <c r="I40" s="495"/>
      <c r="J40" s="465"/>
      <c r="K40" s="463"/>
      <c r="L40" s="463"/>
      <c r="M40" s="464"/>
      <c r="N40" s="494"/>
      <c r="O40" s="484"/>
      <c r="P40" s="484"/>
      <c r="Q40" s="495"/>
      <c r="R40" s="494"/>
      <c r="S40" s="484"/>
      <c r="T40" s="484"/>
      <c r="U40" s="495"/>
    </row>
    <row r="41" spans="2:21" ht="15" customHeight="1">
      <c r="B41" s="494"/>
      <c r="C41" s="484"/>
      <c r="D41" s="484"/>
      <c r="E41" s="495"/>
      <c r="F41" s="494"/>
      <c r="G41" s="484"/>
      <c r="H41" s="484"/>
      <c r="I41" s="495"/>
      <c r="J41" s="465"/>
      <c r="K41" s="463"/>
      <c r="L41" s="463"/>
      <c r="M41" s="464"/>
      <c r="N41" s="494"/>
      <c r="O41" s="484"/>
      <c r="P41" s="484"/>
      <c r="Q41" s="495"/>
      <c r="R41" s="494"/>
      <c r="S41" s="484"/>
      <c r="T41" s="484"/>
      <c r="U41" s="495"/>
    </row>
    <row r="42" spans="2:21" ht="15" customHeight="1">
      <c r="B42" s="494"/>
      <c r="C42" s="484"/>
      <c r="D42" s="484"/>
      <c r="E42" s="495"/>
      <c r="F42" s="494"/>
      <c r="G42" s="484"/>
      <c r="H42" s="484"/>
      <c r="I42" s="495"/>
      <c r="J42" s="465"/>
      <c r="K42" s="463"/>
      <c r="L42" s="463"/>
      <c r="M42" s="464"/>
      <c r="N42" s="494"/>
      <c r="O42" s="484"/>
      <c r="P42" s="484"/>
      <c r="Q42" s="495"/>
      <c r="R42" s="494"/>
      <c r="S42" s="484"/>
      <c r="T42" s="484"/>
      <c r="U42" s="495"/>
    </row>
    <row r="43" spans="2:21" ht="15" customHeight="1">
      <c r="B43" s="494"/>
      <c r="C43" s="484"/>
      <c r="D43" s="484"/>
      <c r="E43" s="495"/>
      <c r="F43" s="494"/>
      <c r="G43" s="484"/>
      <c r="H43" s="484"/>
      <c r="I43" s="495"/>
      <c r="J43" s="465"/>
      <c r="K43" s="463"/>
      <c r="L43" s="463"/>
      <c r="M43" s="464"/>
      <c r="N43" s="494"/>
      <c r="O43" s="484"/>
      <c r="P43" s="484"/>
      <c r="Q43" s="495"/>
      <c r="R43" s="494"/>
      <c r="S43" s="484"/>
      <c r="T43" s="484"/>
      <c r="U43" s="495"/>
    </row>
    <row r="44" spans="2:21" ht="15" customHeight="1">
      <c r="B44" s="494"/>
      <c r="C44" s="484"/>
      <c r="D44" s="484"/>
      <c r="E44" s="495"/>
      <c r="F44" s="494"/>
      <c r="G44" s="484"/>
      <c r="H44" s="484"/>
      <c r="I44" s="495"/>
      <c r="J44" s="465"/>
      <c r="K44" s="463"/>
      <c r="L44" s="463"/>
      <c r="M44" s="464"/>
      <c r="N44" s="494"/>
      <c r="O44" s="484"/>
      <c r="P44" s="484"/>
      <c r="Q44" s="495"/>
      <c r="R44" s="494"/>
      <c r="S44" s="484"/>
      <c r="T44" s="484"/>
      <c r="U44" s="495"/>
    </row>
    <row r="45" spans="2:21" ht="15" customHeight="1">
      <c r="B45" s="494"/>
      <c r="C45" s="484"/>
      <c r="D45" s="484"/>
      <c r="E45" s="495"/>
      <c r="F45" s="494"/>
      <c r="G45" s="484"/>
      <c r="H45" s="484"/>
      <c r="I45" s="495"/>
      <c r="J45" s="465"/>
      <c r="K45" s="463"/>
      <c r="L45" s="463"/>
      <c r="M45" s="464"/>
      <c r="N45" s="494"/>
      <c r="O45" s="484"/>
      <c r="P45" s="484"/>
      <c r="Q45" s="495"/>
      <c r="R45" s="494"/>
      <c r="S45" s="484"/>
      <c r="T45" s="484"/>
      <c r="U45" s="495"/>
    </row>
    <row r="46" spans="2:21" ht="15" customHeight="1">
      <c r="B46" s="494"/>
      <c r="C46" s="484"/>
      <c r="D46" s="484"/>
      <c r="E46" s="495"/>
      <c r="F46" s="494"/>
      <c r="G46" s="484"/>
      <c r="H46" s="484"/>
      <c r="I46" s="495"/>
      <c r="J46" s="465"/>
      <c r="K46" s="463"/>
      <c r="L46" s="463"/>
      <c r="M46" s="464"/>
      <c r="N46" s="494"/>
      <c r="O46" s="484"/>
      <c r="P46" s="484"/>
      <c r="Q46" s="495"/>
      <c r="R46" s="494"/>
      <c r="S46" s="484"/>
      <c r="T46" s="484"/>
      <c r="U46" s="495"/>
    </row>
    <row r="47" spans="2:21" ht="46.5" customHeight="1">
      <c r="B47" s="496"/>
      <c r="C47" s="497"/>
      <c r="D47" s="497"/>
      <c r="E47" s="498"/>
      <c r="F47" s="496"/>
      <c r="G47" s="497"/>
      <c r="H47" s="497"/>
      <c r="I47" s="498"/>
      <c r="J47" s="466"/>
      <c r="K47" s="467"/>
      <c r="L47" s="467"/>
      <c r="M47" s="468"/>
      <c r="N47" s="499"/>
      <c r="O47" s="487"/>
      <c r="P47" s="487"/>
      <c r="Q47" s="500"/>
      <c r="R47" s="499"/>
      <c r="S47" s="487"/>
      <c r="T47" s="487"/>
      <c r="U47" s="500"/>
    </row>
    <row r="48" spans="2:21" ht="15" customHeight="1">
      <c r="B48" s="473" t="s">
        <v>18</v>
      </c>
      <c r="C48" s="474"/>
      <c r="D48" s="474"/>
      <c r="E48" s="474"/>
      <c r="F48" s="474"/>
      <c r="G48" s="474"/>
      <c r="H48" s="474"/>
      <c r="I48" s="474"/>
      <c r="J48" s="475"/>
      <c r="K48" s="476"/>
      <c r="L48" s="478" t="s">
        <v>19</v>
      </c>
      <c r="M48" s="475"/>
      <c r="N48" s="475"/>
      <c r="O48" s="475"/>
      <c r="P48" s="475"/>
      <c r="Q48" s="475"/>
      <c r="R48" s="475"/>
      <c r="S48" s="475"/>
      <c r="T48" s="475"/>
      <c r="U48" s="476"/>
    </row>
    <row r="49" spans="2:21" ht="15" customHeight="1">
      <c r="B49" s="473"/>
      <c r="C49" s="474"/>
      <c r="D49" s="474"/>
      <c r="E49" s="474"/>
      <c r="F49" s="474"/>
      <c r="G49" s="474"/>
      <c r="H49" s="474"/>
      <c r="I49" s="474"/>
      <c r="J49" s="474"/>
      <c r="K49" s="477"/>
      <c r="L49" s="473"/>
      <c r="M49" s="479"/>
      <c r="N49" s="479"/>
      <c r="O49" s="479"/>
      <c r="P49" s="479"/>
      <c r="Q49" s="479"/>
      <c r="R49" s="479"/>
      <c r="S49" s="479"/>
      <c r="T49" s="479"/>
      <c r="U49" s="477"/>
    </row>
    <row r="50" spans="2:21" ht="15" customHeight="1">
      <c r="B50" s="480"/>
      <c r="C50" s="481"/>
      <c r="D50" s="481"/>
      <c r="E50" s="481"/>
      <c r="F50" s="481"/>
      <c r="G50" s="481"/>
      <c r="H50" s="481"/>
      <c r="I50" s="481"/>
      <c r="J50" s="481"/>
      <c r="K50" s="482"/>
      <c r="L50" s="480"/>
      <c r="M50" s="481"/>
      <c r="N50" s="481"/>
      <c r="O50" s="481"/>
      <c r="P50" s="481"/>
      <c r="Q50" s="481"/>
      <c r="R50" s="481"/>
      <c r="S50" s="481"/>
      <c r="T50" s="481"/>
      <c r="U50" s="482"/>
    </row>
    <row r="51" spans="2:21" ht="15" customHeight="1">
      <c r="B51" s="483"/>
      <c r="C51" s="484"/>
      <c r="D51" s="484"/>
      <c r="E51" s="484"/>
      <c r="F51" s="484"/>
      <c r="G51" s="484"/>
      <c r="H51" s="484"/>
      <c r="I51" s="484"/>
      <c r="J51" s="484"/>
      <c r="K51" s="485"/>
      <c r="L51" s="483"/>
      <c r="M51" s="484"/>
      <c r="N51" s="484"/>
      <c r="O51" s="484"/>
      <c r="P51" s="484"/>
      <c r="Q51" s="484"/>
      <c r="R51" s="484"/>
      <c r="S51" s="484"/>
      <c r="T51" s="484"/>
      <c r="U51" s="485"/>
    </row>
    <row r="52" spans="2:21" ht="15" customHeight="1">
      <c r="B52" s="483"/>
      <c r="C52" s="484"/>
      <c r="D52" s="484"/>
      <c r="E52" s="484"/>
      <c r="F52" s="484"/>
      <c r="G52" s="484"/>
      <c r="H52" s="484"/>
      <c r="I52" s="484"/>
      <c r="J52" s="484"/>
      <c r="K52" s="485"/>
      <c r="L52" s="483"/>
      <c r="M52" s="484"/>
      <c r="N52" s="484"/>
      <c r="O52" s="484"/>
      <c r="P52" s="484"/>
      <c r="Q52" s="484"/>
      <c r="R52" s="484"/>
      <c r="S52" s="484"/>
      <c r="T52" s="484"/>
      <c r="U52" s="485"/>
    </row>
    <row r="53" spans="2:21" ht="15" customHeight="1">
      <c r="B53" s="483"/>
      <c r="C53" s="484"/>
      <c r="D53" s="484"/>
      <c r="E53" s="484"/>
      <c r="F53" s="484"/>
      <c r="G53" s="484"/>
      <c r="H53" s="484"/>
      <c r="I53" s="484"/>
      <c r="J53" s="484"/>
      <c r="K53" s="485"/>
      <c r="L53" s="483"/>
      <c r="M53" s="484"/>
      <c r="N53" s="484"/>
      <c r="O53" s="484"/>
      <c r="P53" s="484"/>
      <c r="Q53" s="484"/>
      <c r="R53" s="484"/>
      <c r="S53" s="484"/>
      <c r="T53" s="484"/>
      <c r="U53" s="485"/>
    </row>
    <row r="54" spans="2:21" ht="15" customHeight="1">
      <c r="B54" s="483"/>
      <c r="C54" s="484"/>
      <c r="D54" s="484"/>
      <c r="E54" s="484"/>
      <c r="F54" s="484"/>
      <c r="G54" s="484"/>
      <c r="H54" s="484"/>
      <c r="I54" s="484"/>
      <c r="J54" s="484"/>
      <c r="K54" s="485"/>
      <c r="L54" s="483"/>
      <c r="M54" s="484"/>
      <c r="N54" s="484"/>
      <c r="O54" s="484"/>
      <c r="P54" s="484"/>
      <c r="Q54" s="484"/>
      <c r="R54" s="484"/>
      <c r="S54" s="484"/>
      <c r="T54" s="484"/>
      <c r="U54" s="485"/>
    </row>
    <row r="55" spans="2:21" ht="15" customHeight="1">
      <c r="B55" s="483"/>
      <c r="C55" s="484"/>
      <c r="D55" s="484"/>
      <c r="E55" s="484"/>
      <c r="F55" s="484"/>
      <c r="G55" s="484"/>
      <c r="H55" s="484"/>
      <c r="I55" s="484"/>
      <c r="J55" s="484"/>
      <c r="K55" s="485"/>
      <c r="L55" s="483"/>
      <c r="M55" s="484"/>
      <c r="N55" s="484"/>
      <c r="O55" s="484"/>
      <c r="P55" s="484"/>
      <c r="Q55" s="484"/>
      <c r="R55" s="484"/>
      <c r="S55" s="484"/>
      <c r="T55" s="484"/>
      <c r="U55" s="485"/>
    </row>
    <row r="56" spans="2:21" ht="15" customHeight="1">
      <c r="B56" s="483"/>
      <c r="C56" s="484"/>
      <c r="D56" s="484"/>
      <c r="E56" s="484"/>
      <c r="F56" s="484"/>
      <c r="G56" s="484"/>
      <c r="H56" s="484"/>
      <c r="I56" s="484"/>
      <c r="J56" s="484"/>
      <c r="K56" s="485"/>
      <c r="L56" s="483"/>
      <c r="M56" s="484"/>
      <c r="N56" s="484"/>
      <c r="O56" s="484"/>
      <c r="P56" s="484"/>
      <c r="Q56" s="484"/>
      <c r="R56" s="484"/>
      <c r="S56" s="484"/>
      <c r="T56" s="484"/>
      <c r="U56" s="485"/>
    </row>
    <row r="57" spans="2:21" ht="15" customHeight="1">
      <c r="B57" s="483"/>
      <c r="C57" s="484"/>
      <c r="D57" s="484"/>
      <c r="E57" s="484"/>
      <c r="F57" s="484"/>
      <c r="G57" s="484"/>
      <c r="H57" s="484"/>
      <c r="I57" s="484"/>
      <c r="J57" s="484"/>
      <c r="K57" s="485"/>
      <c r="L57" s="483"/>
      <c r="M57" s="484"/>
      <c r="N57" s="484"/>
      <c r="O57" s="484"/>
      <c r="P57" s="484"/>
      <c r="Q57" s="484"/>
      <c r="R57" s="484"/>
      <c r="S57" s="484"/>
      <c r="T57" s="484"/>
      <c r="U57" s="485"/>
    </row>
    <row r="58" spans="2:21" ht="15" customHeight="1">
      <c r="B58" s="483"/>
      <c r="C58" s="484"/>
      <c r="D58" s="484"/>
      <c r="E58" s="484"/>
      <c r="F58" s="484"/>
      <c r="G58" s="484"/>
      <c r="H58" s="484"/>
      <c r="I58" s="484"/>
      <c r="J58" s="484"/>
      <c r="K58" s="485"/>
      <c r="L58" s="483"/>
      <c r="M58" s="484"/>
      <c r="N58" s="484"/>
      <c r="O58" s="484"/>
      <c r="P58" s="484"/>
      <c r="Q58" s="484"/>
      <c r="R58" s="484"/>
      <c r="S58" s="484"/>
      <c r="T58" s="484"/>
      <c r="U58" s="485"/>
    </row>
    <row r="59" spans="2:21" ht="15" customHeight="1">
      <c r="B59" s="483"/>
      <c r="C59" s="484"/>
      <c r="D59" s="484"/>
      <c r="E59" s="484"/>
      <c r="F59" s="484"/>
      <c r="G59" s="484"/>
      <c r="H59" s="484"/>
      <c r="I59" s="484"/>
      <c r="J59" s="484"/>
      <c r="K59" s="485"/>
      <c r="L59" s="483"/>
      <c r="M59" s="484"/>
      <c r="N59" s="484"/>
      <c r="O59" s="484"/>
      <c r="P59" s="484"/>
      <c r="Q59" s="484"/>
      <c r="R59" s="484"/>
      <c r="S59" s="484"/>
      <c r="T59" s="484"/>
      <c r="U59" s="485"/>
    </row>
    <row r="60" spans="2:21" ht="38.25" customHeight="1">
      <c r="B60" s="486"/>
      <c r="C60" s="487"/>
      <c r="D60" s="487"/>
      <c r="E60" s="487"/>
      <c r="F60" s="487"/>
      <c r="G60" s="487"/>
      <c r="H60" s="487"/>
      <c r="I60" s="487"/>
      <c r="J60" s="487"/>
      <c r="K60" s="488"/>
      <c r="L60" s="486"/>
      <c r="M60" s="487"/>
      <c r="N60" s="487"/>
      <c r="O60" s="487"/>
      <c r="P60" s="487"/>
      <c r="Q60" s="487"/>
      <c r="R60" s="487"/>
      <c r="S60" s="487"/>
      <c r="T60" s="487"/>
      <c r="U60" s="488"/>
    </row>
    <row r="61" spans="2:21" ht="9" customHeight="1">
      <c r="B61" s="419"/>
      <c r="C61" s="419"/>
      <c r="D61" s="419"/>
      <c r="E61" s="419"/>
      <c r="F61" s="419"/>
      <c r="G61" s="419"/>
      <c r="H61" s="419"/>
      <c r="I61" s="419"/>
      <c r="J61" s="419"/>
      <c r="K61" s="419"/>
      <c r="L61" s="419"/>
      <c r="M61" s="419"/>
      <c r="N61" s="419"/>
      <c r="O61" s="419"/>
      <c r="P61" s="419"/>
      <c r="Q61" s="419"/>
      <c r="R61" s="419"/>
      <c r="S61" s="419"/>
      <c r="T61" s="419"/>
      <c r="U61" s="419"/>
    </row>
    <row r="62" spans="2:21" ht="15" hidden="1" customHeight="1">
      <c r="B62" s="730"/>
      <c r="C62" s="730"/>
      <c r="D62" s="730"/>
      <c r="E62" s="730"/>
      <c r="F62" s="730"/>
      <c r="G62" s="730"/>
      <c r="H62" s="730"/>
      <c r="I62" s="730"/>
      <c r="J62" s="730"/>
      <c r="K62" s="730"/>
      <c r="L62" s="730"/>
      <c r="M62" s="730"/>
      <c r="N62" s="730"/>
      <c r="O62" s="730"/>
      <c r="P62" s="730"/>
      <c r="Q62" s="730"/>
      <c r="R62" s="730"/>
      <c r="S62" s="730"/>
      <c r="T62" s="730"/>
      <c r="U62" s="730"/>
    </row>
    <row r="63" spans="2:21" ht="15" hidden="1" customHeight="1">
      <c r="B63" s="730"/>
      <c r="C63" s="730"/>
      <c r="D63" s="730"/>
      <c r="E63" s="730"/>
      <c r="F63" s="730"/>
      <c r="G63" s="730"/>
      <c r="H63" s="730"/>
      <c r="I63" s="730"/>
      <c r="J63" s="730"/>
      <c r="K63" s="730"/>
      <c r="L63" s="730"/>
      <c r="M63" s="730"/>
      <c r="N63" s="730"/>
      <c r="O63" s="730"/>
      <c r="P63" s="730"/>
      <c r="Q63" s="730"/>
      <c r="R63" s="730"/>
      <c r="S63" s="730"/>
      <c r="T63" s="730"/>
      <c r="U63" s="730"/>
    </row>
    <row r="64" spans="2:21" hidden="1">
      <c r="B64" s="730"/>
      <c r="C64" s="730"/>
      <c r="D64" s="730"/>
      <c r="E64" s="730"/>
      <c r="F64" s="730"/>
      <c r="G64" s="730"/>
      <c r="H64" s="730"/>
      <c r="I64" s="730"/>
      <c r="J64" s="730"/>
      <c r="K64" s="730"/>
      <c r="L64" s="730"/>
      <c r="M64" s="730"/>
      <c r="N64" s="730"/>
      <c r="O64" s="730"/>
      <c r="P64" s="730"/>
      <c r="Q64" s="730"/>
      <c r="R64" s="730"/>
      <c r="S64" s="730"/>
      <c r="T64" s="730"/>
      <c r="U64" s="730"/>
    </row>
    <row r="65" spans="2:23" hidden="1">
      <c r="B65" s="730"/>
      <c r="C65" s="730"/>
      <c r="D65" s="730"/>
      <c r="E65" s="730"/>
      <c r="F65" s="730"/>
      <c r="G65" s="730"/>
      <c r="H65" s="730"/>
      <c r="I65" s="730"/>
      <c r="J65" s="730"/>
      <c r="K65" s="730"/>
      <c r="L65" s="730"/>
      <c r="M65" s="730"/>
      <c r="N65" s="730"/>
      <c r="O65" s="730"/>
      <c r="P65" s="730"/>
      <c r="Q65" s="730"/>
      <c r="R65" s="730"/>
      <c r="S65" s="730"/>
      <c r="T65" s="730"/>
      <c r="U65" s="730"/>
    </row>
    <row r="66" spans="2:23" hidden="1">
      <c r="B66" s="730"/>
      <c r="C66" s="730"/>
      <c r="D66" s="730"/>
      <c r="E66" s="730"/>
      <c r="F66" s="730"/>
      <c r="G66" s="730"/>
      <c r="H66" s="730"/>
      <c r="I66" s="730"/>
      <c r="J66" s="730"/>
      <c r="K66" s="730"/>
      <c r="L66" s="730"/>
      <c r="M66" s="730"/>
      <c r="N66" s="730"/>
      <c r="O66" s="730"/>
      <c r="P66" s="730"/>
      <c r="Q66" s="730"/>
      <c r="R66" s="730"/>
      <c r="S66" s="730"/>
      <c r="T66" s="730"/>
      <c r="U66" s="730"/>
    </row>
    <row r="67" spans="2:23" ht="15.75" hidden="1">
      <c r="B67" s="472"/>
      <c r="C67" s="472"/>
      <c r="D67" s="472"/>
      <c r="E67" s="472"/>
      <c r="F67" s="472"/>
      <c r="G67" s="472"/>
      <c r="H67" s="472"/>
      <c r="I67" s="472"/>
      <c r="J67" s="472"/>
      <c r="K67" s="472"/>
      <c r="L67" s="472"/>
      <c r="M67" s="472"/>
      <c r="N67" s="472"/>
      <c r="O67" s="472"/>
      <c r="P67" s="472"/>
      <c r="Q67" s="472"/>
      <c r="R67" s="472"/>
      <c r="S67" s="472"/>
      <c r="T67" s="472"/>
      <c r="U67" s="472"/>
    </row>
    <row r="68" spans="2:23" hidden="1">
      <c r="B68" s="730"/>
      <c r="C68" s="730"/>
      <c r="D68" s="730"/>
      <c r="E68" s="730"/>
      <c r="F68" s="730"/>
      <c r="G68" s="730"/>
      <c r="H68" s="730"/>
      <c r="I68" s="730"/>
      <c r="J68" s="730"/>
      <c r="K68" s="730"/>
      <c r="L68" s="730"/>
      <c r="M68" s="730"/>
      <c r="N68" s="730"/>
      <c r="O68" s="730"/>
      <c r="P68" s="730"/>
      <c r="Q68" s="730"/>
      <c r="R68" s="730"/>
      <c r="S68" s="730"/>
      <c r="T68" s="730"/>
      <c r="U68" s="730"/>
    </row>
    <row r="69" spans="2:23" hidden="1">
      <c r="B69" s="730"/>
      <c r="C69" s="730"/>
      <c r="D69" s="730"/>
      <c r="E69" s="730"/>
      <c r="F69" s="730"/>
      <c r="G69" s="730"/>
      <c r="H69" s="730"/>
      <c r="I69" s="730"/>
      <c r="J69" s="730"/>
      <c r="K69" s="730"/>
      <c r="L69" s="730"/>
      <c r="M69" s="730"/>
      <c r="N69" s="730"/>
      <c r="O69" s="730"/>
      <c r="P69" s="730"/>
      <c r="Q69" s="730"/>
      <c r="R69" s="730"/>
      <c r="S69" s="730"/>
      <c r="T69" s="730"/>
      <c r="U69" s="730"/>
    </row>
    <row r="70" spans="2:23" hidden="1">
      <c r="B70" s="730"/>
      <c r="C70" s="730"/>
      <c r="D70" s="730"/>
      <c r="E70" s="730"/>
      <c r="F70" s="730"/>
      <c r="G70" s="730"/>
      <c r="H70" s="730"/>
      <c r="I70" s="730"/>
      <c r="J70" s="730"/>
      <c r="K70" s="730"/>
      <c r="L70" s="730"/>
      <c r="M70" s="730"/>
      <c r="N70" s="730"/>
      <c r="O70" s="730"/>
      <c r="P70" s="730"/>
      <c r="Q70" s="730"/>
      <c r="R70" s="730"/>
      <c r="S70" s="730"/>
      <c r="T70" s="730"/>
      <c r="U70" s="730"/>
    </row>
    <row r="71" spans="2:23" hidden="1"/>
    <row r="72" spans="2:23" hidden="1"/>
    <row r="73" spans="2:23" hidden="1"/>
    <row r="74" spans="2:23" ht="27.75">
      <c r="B74" s="461" t="s">
        <v>20</v>
      </c>
      <c r="V74" s="506" t="s">
        <v>21</v>
      </c>
      <c r="W74" s="507"/>
    </row>
    <row r="75" spans="2:23" ht="32.25" customHeight="1"/>
  </sheetData>
  <mergeCells count="41">
    <mergeCell ref="V74:W74"/>
    <mergeCell ref="W5:X5"/>
    <mergeCell ref="B8:E9"/>
    <mergeCell ref="F8:I9"/>
    <mergeCell ref="J8:M9"/>
    <mergeCell ref="N8:Q9"/>
    <mergeCell ref="R8:U9"/>
    <mergeCell ref="B3:H5"/>
    <mergeCell ref="J3:L3"/>
    <mergeCell ref="N3:P3"/>
    <mergeCell ref="R3:S3"/>
    <mergeCell ref="W3:X3"/>
    <mergeCell ref="J4:L5"/>
    <mergeCell ref="N4:P5"/>
    <mergeCell ref="R4:S5"/>
    <mergeCell ref="U4:U5"/>
    <mergeCell ref="W4:X4"/>
    <mergeCell ref="B10:E47"/>
    <mergeCell ref="F10:I27"/>
    <mergeCell ref="N10:Q27"/>
    <mergeCell ref="R10:U47"/>
    <mergeCell ref="F28:I29"/>
    <mergeCell ref="N28:Q29"/>
    <mergeCell ref="F30:I47"/>
    <mergeCell ref="N30:Q47"/>
    <mergeCell ref="W6:X6"/>
    <mergeCell ref="B70:U70"/>
    <mergeCell ref="J11:M47"/>
    <mergeCell ref="J10:M10"/>
    <mergeCell ref="B64:U64"/>
    <mergeCell ref="B65:U65"/>
    <mergeCell ref="B66:U66"/>
    <mergeCell ref="B67:U67"/>
    <mergeCell ref="B68:U68"/>
    <mergeCell ref="B69:U69"/>
    <mergeCell ref="B48:K49"/>
    <mergeCell ref="L48:U49"/>
    <mergeCell ref="B50:K60"/>
    <mergeCell ref="L50:U60"/>
    <mergeCell ref="B62:U62"/>
    <mergeCell ref="B63:U63"/>
  </mergeCells>
  <dataValidations count="1">
    <dataValidation type="date" allowBlank="1" showInputMessage="1" showErrorMessage="1" error="Please use the right formate: DD/MM/YYYY" sqref="R4:S5" xr:uid="{32293EAC-4B25-4B42-BAB5-DC46735033FE}">
      <formula1>44562</formula1>
      <formula2>73415</formula2>
    </dataValidation>
  </dataValidations>
  <hyperlinks>
    <hyperlink ref="W5" r:id="rId1" tooltip="Introduction to the Business Model Canvas" xr:uid="{4F5BD238-5362-4DCA-8A07-9E3A67F1EB7D}"/>
    <hyperlink ref="X5" r:id="rId2" tooltip="Introduction to the Business Model Canvas" display="Watch YouTube video" xr:uid="{588E9FFE-8AC1-400C-8F55-915ADA0468DF}"/>
    <hyperlink ref="W4" r:id="rId3" tooltip="Go to Business Model Canvas on Wikipedia" xr:uid="{DC657175-A833-45E2-99D5-D1876CFD2B9E}"/>
    <hyperlink ref="X4" r:id="rId4" tooltip="Go to Business Model Canvas on Wikipedia" display="http://en.wikipedia.org/wiki/Business_Model_Canvas" xr:uid="{724A78A9-8249-4D12-8870-5C6765F3BE51}"/>
    <hyperlink ref="F8:I9" location="Your_Solution!A1" display="Your Solution" xr:uid="{36837660-FB1C-4D9C-92C1-40E61934A683}"/>
    <hyperlink ref="F28:I29" location="Key_Metrics!A1" display="Key Metrics" xr:uid="{1C8B010A-0651-46E7-A465-0FA026313B77}"/>
    <hyperlink ref="N28:Q29" location="Channels!A2" display="Channels" xr:uid="{760C21DF-6EDF-4BE0-A1F0-F9FBFA286966}"/>
    <hyperlink ref="R8:U9" location="'Customer Segments'!A2" display="Customer Segments" xr:uid="{6975ED07-6C6E-422C-BFB4-BF08E497BA9D}"/>
    <hyperlink ref="B48:K49" location="'Cost Structure'!A2" display="Cost Structure" xr:uid="{F5743BBA-8E6F-4044-A442-809D87A236DA}"/>
    <hyperlink ref="L48:U49" location="'Revenue Streams'!A2" display="Revenue Streams" xr:uid="{23133703-3271-4028-956A-CE75BAE1C2C5}"/>
    <hyperlink ref="J8:M9" location="'Value Proposition Canvas'!R4" display="Value Propositions Canvas" xr:uid="{1E52976B-D8E0-4981-822B-3C5A8E1F5A3A}"/>
    <hyperlink ref="B8:E9" location="Problem!A1" display="Problem" xr:uid="{180CF901-5FD6-4B02-9F59-D12197178649}"/>
    <hyperlink ref="W4:X4" r:id="rId5" tooltip="Go to Business Model Canvas on Wikipedia" display="Read Instructions" xr:uid="{45CE5FEC-F009-47D3-AA6C-3A3B743BBC2A}"/>
    <hyperlink ref="W5:X5" r:id="rId6" tooltip="Introduction to the Business Model Canvas" display="Watch YouTube video" xr:uid="{2ACD05C6-D38A-4C24-A67D-E6FDEC0CFE2E}"/>
    <hyperlink ref="N8:Q9" location="USP!A1" display="Unique Selling Proposition" xr:uid="{896EDD8F-83B1-4F59-86E5-1C1854F611C5}"/>
    <hyperlink ref="V74" location="'Business Plan'!B4" display="Business Plan" xr:uid="{DC79B22F-8FE7-47B8-A679-AB65AAA49B10}"/>
  </hyperlinks>
  <pageMargins left="0.75000000000000011" right="0.75000000000000011" top="1" bottom="1" header="0.5" footer="0.5"/>
  <pageSetup paperSize="9" scale="44" orientation="landscape" horizontalDpi="4294967293" verticalDpi="4294967293" r:id="rId7"/>
  <headerFooter alignWithMargins="0"/>
  <drawing r:id="rId8"/>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4F37-8450-4362-8E75-AB70C3BCF033}">
  <sheetPr codeName="Sheet3"/>
  <dimension ref="A1:BA481"/>
  <sheetViews>
    <sheetView topLeftCell="A3" zoomScale="90" zoomScaleNormal="90" workbookViewId="0">
      <selection activeCell="A6" sqref="A6"/>
    </sheetView>
  </sheetViews>
  <sheetFormatPr defaultRowHeight="15.75"/>
  <cols>
    <col min="1" max="1" width="94.5" customWidth="1"/>
    <col min="2" max="53" width="9" style="97"/>
  </cols>
  <sheetData>
    <row r="1" spans="1:8" s="97" customFormat="1">
      <c r="A1" s="98" t="str">
        <f>'Lean Canvas'!B8</f>
        <v>Problem</v>
      </c>
    </row>
    <row r="2" spans="1:8" s="97" customFormat="1">
      <c r="A2" s="97" t="s">
        <v>22</v>
      </c>
    </row>
    <row r="3" spans="1:8" ht="200.25" customHeight="1">
      <c r="A3" s="99"/>
      <c r="C3" s="518">
        <f>'Lean Canvas'!B10</f>
        <v>0</v>
      </c>
      <c r="D3" s="519"/>
      <c r="E3" s="519"/>
      <c r="F3" s="519"/>
    </row>
    <row r="4" spans="1:8" s="97" customFormat="1">
      <c r="A4" s="97" t="s">
        <v>23</v>
      </c>
      <c r="C4" s="519"/>
      <c r="D4" s="519"/>
      <c r="E4" s="519"/>
      <c r="F4" s="519"/>
    </row>
    <row r="5" spans="1:8" ht="200.25" customHeight="1">
      <c r="A5" s="99"/>
      <c r="C5" s="519"/>
      <c r="D5" s="519"/>
      <c r="E5" s="519"/>
      <c r="F5" s="519"/>
    </row>
    <row r="6" spans="1:8" ht="24" customHeight="1">
      <c r="A6" s="457" t="s">
        <v>24</v>
      </c>
      <c r="C6" s="519"/>
      <c r="D6" s="519"/>
      <c r="E6" s="519"/>
      <c r="F6" s="519"/>
    </row>
    <row r="7" spans="1:8" ht="160.15" customHeight="1">
      <c r="A7" s="99"/>
    </row>
    <row r="8" spans="1:8" ht="18.75">
      <c r="A8" s="97"/>
      <c r="C8" s="372"/>
      <c r="D8" s="374" t="s">
        <v>25</v>
      </c>
      <c r="E8" s="375"/>
      <c r="F8" s="371"/>
      <c r="G8" s="371"/>
      <c r="H8" s="371"/>
    </row>
    <row r="9" spans="1:8" ht="15.75" customHeight="1">
      <c r="A9" s="97"/>
      <c r="C9" s="371"/>
      <c r="D9" s="371"/>
      <c r="E9" s="371"/>
      <c r="F9" s="371"/>
      <c r="G9" s="371"/>
      <c r="H9" s="371"/>
    </row>
    <row r="10" spans="1:8">
      <c r="A10" s="97"/>
      <c r="C10" s="371"/>
      <c r="D10" s="372"/>
      <c r="E10" s="371"/>
      <c r="F10" s="371"/>
      <c r="G10" s="371"/>
      <c r="H10" s="371"/>
    </row>
    <row r="11" spans="1:8">
      <c r="A11" s="97"/>
    </row>
    <row r="12" spans="1:8" s="97" customFormat="1"/>
    <row r="13" spans="1:8" s="97" customFormat="1"/>
    <row r="14" spans="1:8" s="97" customFormat="1"/>
    <row r="15" spans="1:8" s="97" customFormat="1"/>
    <row r="16" spans="1:8" s="97" customFormat="1"/>
    <row r="17" s="97" customFormat="1"/>
    <row r="18" s="97" customFormat="1"/>
    <row r="19" s="97" customFormat="1"/>
    <row r="20" s="97" customFormat="1"/>
    <row r="21" s="97" customFormat="1"/>
    <row r="22" s="97" customFormat="1"/>
    <row r="23" s="97" customFormat="1"/>
    <row r="24" s="97" customFormat="1"/>
    <row r="25" s="97" customFormat="1"/>
    <row r="26" s="97" customFormat="1"/>
    <row r="27" s="97" customFormat="1"/>
    <row r="28" s="97" customFormat="1"/>
    <row r="29" s="97" customFormat="1"/>
    <row r="30" s="97" customFormat="1"/>
    <row r="31" s="97" customFormat="1"/>
    <row r="32" s="97" customFormat="1"/>
    <row r="33" s="97" customFormat="1"/>
    <row r="34" s="97" customFormat="1"/>
    <row r="35" s="97" customFormat="1"/>
    <row r="36" s="97" customFormat="1"/>
    <row r="37" s="97" customFormat="1"/>
    <row r="38" s="97" customFormat="1"/>
    <row r="39" s="97" customFormat="1"/>
    <row r="40" s="97" customFormat="1"/>
    <row r="41" s="97" customFormat="1"/>
    <row r="42" s="97" customFormat="1"/>
    <row r="43" s="97" customFormat="1"/>
    <row r="44" s="97" customFormat="1"/>
    <row r="45" s="97" customFormat="1"/>
    <row r="46" s="97" customFormat="1"/>
    <row r="47" s="97" customFormat="1"/>
    <row r="48" s="97" customFormat="1"/>
    <row r="49" s="97" customFormat="1"/>
    <row r="50" s="97" customFormat="1"/>
    <row r="51" s="97" customFormat="1"/>
    <row r="52" s="97" customFormat="1"/>
    <row r="53" s="97" customFormat="1"/>
    <row r="54" s="97" customFormat="1"/>
    <row r="55" s="97" customFormat="1"/>
    <row r="56" s="97" customFormat="1"/>
    <row r="57" s="97" customFormat="1"/>
    <row r="58" s="97" customFormat="1"/>
    <row r="59" s="97" customFormat="1"/>
    <row r="60" s="97" customFormat="1"/>
    <row r="61" s="97" customFormat="1"/>
    <row r="62" s="97" customFormat="1"/>
    <row r="63" s="97" customFormat="1"/>
    <row r="64" s="97" customFormat="1"/>
    <row r="65" s="97" customFormat="1"/>
    <row r="66" s="97" customFormat="1"/>
    <row r="67" s="97" customFormat="1"/>
    <row r="68" s="97" customFormat="1"/>
    <row r="69" s="97" customFormat="1"/>
    <row r="70" s="97" customFormat="1"/>
    <row r="71" s="97" customFormat="1"/>
    <row r="72" s="97" customFormat="1"/>
    <row r="73" s="97" customFormat="1"/>
    <row r="74" s="97" customFormat="1"/>
    <row r="75" s="97" customFormat="1"/>
    <row r="76" s="97" customFormat="1"/>
    <row r="77" s="97" customFormat="1"/>
    <row r="78" s="97" customFormat="1"/>
    <row r="79" s="97" customFormat="1"/>
    <row r="80" s="97" customFormat="1"/>
    <row r="81" s="97" customFormat="1"/>
    <row r="82" s="97" customFormat="1"/>
    <row r="83" s="97" customFormat="1"/>
    <row r="84" s="97" customFormat="1"/>
    <row r="85" s="97" customFormat="1"/>
    <row r="86" s="97" customFormat="1"/>
    <row r="87" s="97" customFormat="1"/>
    <row r="88" s="97" customFormat="1"/>
    <row r="89" s="97" customFormat="1"/>
    <row r="90" s="97" customFormat="1"/>
    <row r="91" s="97" customFormat="1"/>
    <row r="92" s="97" customFormat="1"/>
    <row r="93" s="97" customFormat="1"/>
    <row r="94" s="97" customFormat="1"/>
    <row r="95" s="97" customFormat="1"/>
    <row r="96" s="97" customFormat="1"/>
    <row r="97" s="97" customFormat="1"/>
    <row r="98" s="97" customFormat="1"/>
    <row r="99" s="97" customFormat="1"/>
    <row r="100" s="97" customFormat="1"/>
    <row r="101" s="97" customFormat="1"/>
    <row r="102" s="97" customFormat="1"/>
    <row r="103" s="97" customFormat="1"/>
    <row r="104" s="97" customFormat="1"/>
    <row r="105" s="97" customFormat="1"/>
    <row r="106" s="97" customFormat="1"/>
    <row r="107" s="97" customFormat="1"/>
    <row r="108" s="97" customFormat="1"/>
    <row r="109" s="97" customFormat="1"/>
    <row r="110" s="97" customFormat="1"/>
    <row r="111" s="97" customFormat="1"/>
    <row r="112" s="97" customFormat="1"/>
    <row r="113" s="97" customFormat="1"/>
    <row r="114" s="97" customFormat="1"/>
    <row r="115" s="97" customFormat="1"/>
    <row r="116" s="97" customFormat="1"/>
    <row r="117" s="97" customFormat="1"/>
    <row r="118" s="97" customFormat="1"/>
    <row r="119" s="97" customFormat="1"/>
    <row r="120" s="97" customFormat="1"/>
    <row r="121" s="97" customFormat="1"/>
    <row r="122" s="97" customFormat="1"/>
    <row r="123" s="97" customFormat="1"/>
    <row r="124" s="97" customFormat="1"/>
    <row r="125" s="97" customFormat="1"/>
    <row r="126" s="97" customFormat="1"/>
    <row r="127" s="97" customFormat="1"/>
    <row r="128" s="97" customFormat="1"/>
    <row r="129" s="97" customFormat="1"/>
    <row r="130" s="97" customFormat="1"/>
    <row r="131" s="97" customFormat="1"/>
    <row r="132" s="97" customFormat="1"/>
    <row r="133" s="97" customFormat="1"/>
    <row r="134" s="97" customFormat="1"/>
    <row r="135" s="97" customFormat="1"/>
    <row r="136" s="97" customFormat="1"/>
    <row r="137" s="97" customFormat="1"/>
    <row r="138" s="97" customFormat="1"/>
    <row r="139" s="97" customFormat="1"/>
    <row r="140" s="97" customFormat="1"/>
    <row r="141" s="97" customFormat="1"/>
    <row r="142" s="97" customFormat="1"/>
    <row r="143" s="97" customFormat="1"/>
    <row r="144" s="97" customFormat="1"/>
    <row r="145" s="97" customFormat="1"/>
    <row r="146" s="97" customFormat="1"/>
    <row r="147" s="97" customFormat="1"/>
    <row r="148" s="97" customFormat="1"/>
    <row r="149" s="97" customFormat="1"/>
    <row r="150" s="97" customFormat="1"/>
    <row r="151" s="97" customFormat="1"/>
    <row r="152" s="97" customFormat="1"/>
    <row r="153" s="97" customFormat="1"/>
    <row r="154" s="97" customFormat="1"/>
    <row r="155" s="97" customFormat="1"/>
    <row r="156" s="97" customFormat="1"/>
    <row r="157" s="97" customFormat="1"/>
    <row r="158" s="97" customFormat="1"/>
    <row r="159" s="97" customFormat="1"/>
    <row r="160" s="97" customFormat="1"/>
    <row r="161" s="97" customFormat="1"/>
    <row r="162" s="97" customFormat="1"/>
    <row r="163" s="97" customFormat="1"/>
    <row r="164" s="97" customFormat="1"/>
    <row r="165" s="97" customFormat="1"/>
    <row r="166" s="97" customFormat="1"/>
    <row r="167" s="97" customFormat="1"/>
    <row r="168" s="97" customFormat="1"/>
    <row r="169" s="97" customFormat="1"/>
    <row r="170" s="97" customFormat="1"/>
    <row r="171" s="97" customFormat="1"/>
    <row r="172" s="97" customFormat="1"/>
    <row r="173" s="97" customFormat="1"/>
    <row r="174" s="97" customFormat="1"/>
    <row r="175" s="97" customFormat="1"/>
    <row r="176" s="97" customFormat="1"/>
    <row r="177" s="97" customFormat="1"/>
    <row r="178" s="97" customFormat="1"/>
    <row r="179" s="97" customFormat="1"/>
    <row r="180" s="97" customFormat="1"/>
    <row r="181" s="97" customFormat="1"/>
    <row r="182" s="97" customFormat="1"/>
    <row r="183" s="97" customFormat="1"/>
    <row r="184" s="97" customFormat="1"/>
    <row r="185" s="97" customFormat="1"/>
    <row r="186" s="97" customFormat="1"/>
    <row r="187" s="97" customFormat="1"/>
    <row r="188" s="97" customFormat="1"/>
    <row r="189" s="97" customFormat="1"/>
    <row r="190" s="97" customFormat="1"/>
    <row r="191" s="97" customFormat="1"/>
    <row r="192" s="97" customFormat="1"/>
    <row r="193" s="97" customFormat="1"/>
    <row r="194" s="97" customFormat="1"/>
    <row r="195" s="97" customFormat="1"/>
    <row r="196" s="97" customFormat="1"/>
    <row r="197" s="97" customFormat="1"/>
    <row r="198" s="97" customFormat="1"/>
    <row r="199" s="97" customFormat="1"/>
    <row r="200" s="97" customFormat="1"/>
    <row r="201" s="97" customFormat="1"/>
    <row r="202" s="97" customFormat="1"/>
    <row r="203" s="97" customFormat="1"/>
    <row r="204" s="97" customFormat="1"/>
    <row r="205" s="97" customFormat="1"/>
    <row r="206" s="97" customFormat="1"/>
    <row r="207" s="97" customFormat="1"/>
    <row r="208" s="97" customFormat="1"/>
    <row r="209" s="97" customFormat="1"/>
    <row r="210" s="97" customFormat="1"/>
    <row r="211" s="97" customFormat="1"/>
    <row r="212" s="97" customFormat="1"/>
    <row r="213" s="97" customFormat="1"/>
    <row r="214" s="97" customFormat="1"/>
    <row r="215" s="97" customFormat="1"/>
    <row r="216" s="97" customFormat="1"/>
    <row r="217" s="97" customFormat="1"/>
    <row r="218" s="97" customFormat="1"/>
    <row r="219" s="97" customFormat="1"/>
    <row r="220" s="97" customFormat="1"/>
    <row r="221" s="97" customFormat="1"/>
    <row r="222" s="97" customFormat="1"/>
    <row r="223" s="97" customFormat="1"/>
    <row r="224" s="97" customFormat="1"/>
    <row r="225" s="97" customFormat="1"/>
    <row r="226" s="97" customFormat="1"/>
    <row r="227" s="97" customFormat="1"/>
    <row r="228" s="97" customFormat="1"/>
    <row r="229" s="97" customFormat="1"/>
    <row r="230" s="97" customFormat="1"/>
    <row r="231" s="97" customFormat="1"/>
    <row r="232" s="97" customFormat="1"/>
    <row r="233" s="97" customFormat="1"/>
    <row r="234" s="97" customFormat="1"/>
    <row r="235" s="97" customFormat="1"/>
    <row r="236" s="97" customFormat="1"/>
    <row r="237" s="97" customFormat="1"/>
    <row r="238" s="97" customFormat="1"/>
    <row r="239" s="97" customFormat="1"/>
    <row r="240" s="97" customFormat="1"/>
    <row r="241" s="97" customFormat="1"/>
    <row r="242" s="97" customFormat="1"/>
    <row r="243" s="97" customFormat="1"/>
    <row r="244" s="97" customFormat="1"/>
    <row r="245" s="97" customFormat="1"/>
    <row r="246" s="97" customFormat="1"/>
    <row r="247" s="97" customFormat="1"/>
    <row r="248" s="97" customFormat="1"/>
    <row r="249" s="97" customFormat="1"/>
    <row r="250" s="97" customFormat="1"/>
    <row r="251" s="97" customFormat="1"/>
    <row r="252" s="97" customFormat="1"/>
    <row r="253" s="97" customFormat="1"/>
    <row r="254" s="97" customFormat="1"/>
    <row r="255" s="97" customFormat="1"/>
    <row r="256" s="97" customFormat="1"/>
    <row r="257" s="97" customFormat="1"/>
    <row r="258" s="97" customFormat="1"/>
    <row r="259" s="97" customFormat="1"/>
    <row r="260" s="97" customFormat="1"/>
    <row r="261" s="97" customFormat="1"/>
    <row r="262" s="97" customFormat="1"/>
    <row r="263" s="97" customFormat="1"/>
    <row r="264" s="97" customFormat="1"/>
    <row r="265" s="97" customFormat="1"/>
    <row r="266" s="97" customFormat="1"/>
    <row r="267" s="97" customFormat="1"/>
    <row r="268" s="97" customFormat="1"/>
    <row r="269" s="97" customFormat="1"/>
    <row r="270" s="97" customFormat="1"/>
    <row r="271" s="97" customFormat="1"/>
    <row r="272" s="97" customFormat="1"/>
    <row r="273" s="97" customFormat="1"/>
    <row r="274" s="97" customFormat="1"/>
    <row r="275" s="97" customFormat="1"/>
    <row r="276" s="97" customFormat="1"/>
    <row r="277" s="97" customFormat="1"/>
    <row r="278" s="97" customFormat="1"/>
    <row r="279" s="97" customFormat="1"/>
    <row r="280" s="97" customFormat="1"/>
    <row r="281" s="97" customFormat="1"/>
    <row r="282" s="97" customFormat="1"/>
    <row r="283" s="97" customFormat="1"/>
    <row r="284" s="97" customFormat="1"/>
    <row r="285" s="97" customFormat="1"/>
    <row r="286" s="97" customFormat="1"/>
    <row r="287" s="97" customFormat="1"/>
    <row r="288" s="97" customFormat="1"/>
    <row r="289" s="97" customFormat="1"/>
    <row r="290" s="97" customFormat="1"/>
    <row r="291" s="97" customFormat="1"/>
    <row r="292" s="97" customFormat="1"/>
    <row r="293" s="97" customFormat="1"/>
    <row r="294" s="97" customFormat="1"/>
    <row r="295" s="97" customFormat="1"/>
    <row r="296" s="97" customFormat="1"/>
    <row r="297" s="97" customFormat="1"/>
    <row r="298" s="97" customFormat="1"/>
    <row r="299" s="97" customFormat="1"/>
    <row r="300" s="97" customFormat="1"/>
    <row r="301" s="97" customFormat="1"/>
    <row r="302" s="97" customFormat="1"/>
    <row r="303" s="97" customFormat="1"/>
    <row r="304" s="97" customFormat="1"/>
    <row r="305" s="97" customFormat="1"/>
    <row r="306" s="97" customFormat="1"/>
    <row r="307" s="97" customFormat="1"/>
    <row r="308" s="97" customFormat="1"/>
    <row r="309" s="97" customFormat="1"/>
    <row r="310" s="97" customFormat="1"/>
    <row r="311" s="97" customFormat="1"/>
    <row r="312" s="97" customFormat="1"/>
    <row r="313" s="97" customFormat="1"/>
    <row r="314" s="97" customFormat="1"/>
    <row r="315" s="97" customFormat="1"/>
    <row r="316" s="97" customFormat="1"/>
    <row r="317" s="97" customFormat="1"/>
    <row r="318" s="97" customFormat="1"/>
    <row r="319" s="97" customFormat="1"/>
    <row r="320" s="97" customFormat="1"/>
    <row r="321" s="97" customFormat="1"/>
    <row r="322" s="97" customFormat="1"/>
    <row r="323" s="97" customFormat="1"/>
    <row r="324" s="97" customFormat="1"/>
    <row r="325" s="97" customFormat="1"/>
    <row r="326" s="97" customFormat="1"/>
    <row r="327" s="97" customFormat="1"/>
    <row r="328" s="97" customFormat="1"/>
    <row r="329" s="97" customFormat="1"/>
    <row r="330" s="97" customFormat="1"/>
    <row r="331" s="97" customFormat="1"/>
    <row r="332" s="97" customFormat="1"/>
    <row r="333" s="97" customFormat="1"/>
    <row r="334" s="97" customFormat="1"/>
    <row r="335" s="97" customFormat="1"/>
    <row r="336" s="97" customFormat="1"/>
    <row r="337" s="97" customFormat="1"/>
    <row r="338" s="97" customFormat="1"/>
    <row r="339" s="97" customFormat="1"/>
    <row r="340" s="97" customFormat="1"/>
    <row r="341" s="97" customFormat="1"/>
    <row r="342" s="97" customFormat="1"/>
    <row r="343" s="97" customFormat="1"/>
    <row r="344" s="97" customFormat="1"/>
    <row r="345" s="97" customFormat="1"/>
    <row r="346" s="97" customFormat="1"/>
    <row r="347" s="97" customFormat="1"/>
    <row r="348" s="97" customFormat="1"/>
    <row r="349" s="97" customFormat="1"/>
    <row r="350" s="97" customFormat="1"/>
    <row r="351" s="97" customFormat="1"/>
    <row r="352" s="97" customFormat="1"/>
    <row r="353" s="97" customFormat="1"/>
    <row r="354" s="97" customFormat="1"/>
    <row r="355" s="97" customFormat="1"/>
    <row r="356" s="97" customFormat="1"/>
    <row r="357" s="97" customFormat="1"/>
    <row r="358" s="97" customFormat="1"/>
    <row r="359" s="97" customFormat="1"/>
    <row r="360" s="97" customFormat="1"/>
    <row r="361" s="97" customFormat="1"/>
    <row r="362" s="97" customFormat="1"/>
    <row r="363" s="97" customFormat="1"/>
    <row r="364" s="97" customFormat="1"/>
    <row r="365" s="97" customFormat="1"/>
    <row r="366" s="97" customFormat="1"/>
    <row r="367" s="97" customFormat="1"/>
    <row r="368" s="97" customFormat="1"/>
    <row r="369" s="97" customFormat="1"/>
    <row r="370" s="97" customFormat="1"/>
    <row r="371" s="97" customFormat="1"/>
    <row r="372" s="97" customFormat="1"/>
    <row r="373" s="97" customFormat="1"/>
    <row r="374" s="97" customFormat="1"/>
    <row r="375" s="97" customFormat="1"/>
    <row r="376" s="97" customFormat="1"/>
    <row r="377" s="97" customFormat="1"/>
    <row r="378" s="97" customFormat="1"/>
    <row r="379" s="97" customFormat="1"/>
    <row r="380" s="97" customFormat="1"/>
    <row r="381" s="97" customFormat="1"/>
    <row r="382" s="97" customFormat="1"/>
    <row r="383" s="97" customFormat="1"/>
    <row r="384" s="97" customFormat="1"/>
    <row r="385" s="97" customFormat="1"/>
    <row r="386" s="97" customFormat="1"/>
    <row r="387" s="97" customFormat="1"/>
    <row r="388" s="97" customFormat="1"/>
    <row r="389" s="97" customFormat="1"/>
    <row r="390" s="97" customFormat="1"/>
    <row r="391" s="97" customFormat="1"/>
    <row r="392" s="97" customFormat="1"/>
    <row r="393" s="97" customFormat="1"/>
    <row r="394" s="97" customFormat="1"/>
    <row r="395" s="97" customFormat="1"/>
    <row r="396" s="97" customFormat="1"/>
    <row r="397" s="97" customFormat="1"/>
    <row r="398" s="97" customFormat="1"/>
    <row r="399" s="97" customFormat="1"/>
    <row r="400" s="97" customFormat="1"/>
    <row r="401" s="97" customFormat="1"/>
    <row r="402" s="97" customFormat="1"/>
    <row r="403" s="97" customFormat="1"/>
    <row r="404" s="97" customFormat="1"/>
    <row r="405" s="97" customFormat="1"/>
    <row r="406" s="97" customFormat="1"/>
    <row r="407" s="97" customFormat="1"/>
    <row r="408" s="97" customFormat="1"/>
    <row r="409" s="97" customFormat="1"/>
    <row r="410" s="97" customFormat="1"/>
    <row r="411" s="97" customFormat="1"/>
    <row r="412" s="97" customFormat="1"/>
    <row r="413" s="97" customFormat="1"/>
    <row r="414" s="97" customFormat="1"/>
    <row r="415" s="97" customFormat="1"/>
    <row r="416" s="97" customFormat="1"/>
    <row r="417" s="97" customFormat="1"/>
    <row r="418" s="97" customFormat="1"/>
    <row r="419" s="97" customFormat="1"/>
    <row r="420" s="97" customFormat="1"/>
    <row r="421" s="97" customFormat="1"/>
    <row r="422" s="97" customFormat="1"/>
    <row r="423" s="97" customFormat="1"/>
    <row r="424" s="97" customFormat="1"/>
    <row r="425" s="97" customFormat="1"/>
    <row r="426" s="97" customFormat="1"/>
    <row r="427" s="97" customFormat="1"/>
    <row r="428" s="97" customFormat="1"/>
    <row r="429" s="97" customFormat="1"/>
    <row r="430" s="97" customFormat="1"/>
    <row r="431" s="97" customFormat="1"/>
    <row r="432" s="97" customFormat="1"/>
    <row r="433" s="97" customFormat="1"/>
    <row r="434" s="97" customFormat="1"/>
    <row r="435" s="97" customFormat="1"/>
    <row r="436" s="97" customFormat="1"/>
    <row r="437" s="97" customFormat="1"/>
    <row r="438" s="97" customFormat="1"/>
    <row r="439" s="97" customFormat="1"/>
    <row r="440" s="97" customFormat="1"/>
    <row r="441" s="97" customFormat="1"/>
    <row r="442" s="97" customFormat="1"/>
    <row r="443" s="97" customFormat="1"/>
    <row r="444" s="97" customFormat="1"/>
    <row r="445" s="97" customFormat="1"/>
    <row r="446" s="97" customFormat="1"/>
    <row r="447" s="97" customFormat="1"/>
    <row r="448" s="97" customFormat="1"/>
    <row r="449" s="97" customFormat="1"/>
    <row r="450" s="97" customFormat="1"/>
    <row r="451" s="97" customFormat="1"/>
    <row r="452" s="97" customFormat="1"/>
    <row r="453" s="97" customFormat="1"/>
    <row r="454" s="97" customFormat="1"/>
    <row r="455" s="97" customFormat="1"/>
    <row r="456" s="97" customFormat="1"/>
    <row r="457" s="97" customFormat="1"/>
    <row r="458" s="97" customFormat="1"/>
    <row r="459" s="97" customFormat="1"/>
    <row r="460" s="97" customFormat="1"/>
    <row r="461" s="97" customFormat="1"/>
    <row r="462" s="97" customFormat="1"/>
    <row r="463" s="97" customFormat="1"/>
    <row r="464" s="97" customFormat="1"/>
    <row r="465" s="97" customFormat="1"/>
    <row r="466" s="97" customFormat="1"/>
    <row r="467" s="97" customFormat="1"/>
    <row r="468" s="97" customFormat="1"/>
    <row r="469" s="97" customFormat="1"/>
    <row r="470" s="97" customFormat="1"/>
    <row r="471" s="97" customFormat="1"/>
    <row r="472" s="97" customFormat="1"/>
    <row r="473" s="97" customFormat="1"/>
    <row r="474" s="97" customFormat="1"/>
    <row r="475" s="97" customFormat="1"/>
    <row r="476" s="97" customFormat="1"/>
    <row r="477" s="97" customFormat="1"/>
    <row r="478" s="97" customFormat="1"/>
    <row r="479" s="97" customFormat="1"/>
    <row r="480" s="97" customFormat="1"/>
    <row r="481" s="97" customFormat="1"/>
  </sheetData>
  <sheetProtection sheet="1" objects="1" scenarios="1"/>
  <mergeCells count="1">
    <mergeCell ref="C3:F6"/>
  </mergeCells>
  <hyperlinks>
    <hyperlink ref="D8:G9" location="'Lean Canvas'!A1" display="Back Lean Canvas" xr:uid="{F3367466-9F7C-4226-8938-DC35174EEB68}"/>
    <hyperlink ref="D8" location="'Lean Canvas'!A1" display="Back Lean Canvas" xr:uid="{42368F73-E565-401F-97D2-6B86E6A4C38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632C6-3D79-473F-B430-65711BDB6E01}">
  <sheetPr codeName="Sheet11"/>
  <dimension ref="A1:AZ212"/>
  <sheetViews>
    <sheetView topLeftCell="A6" workbookViewId="0">
      <selection activeCell="A8" sqref="A8"/>
    </sheetView>
  </sheetViews>
  <sheetFormatPr defaultRowHeight="15.75"/>
  <cols>
    <col min="1" max="1" width="93.5" customWidth="1"/>
    <col min="2" max="52" width="9" style="97"/>
  </cols>
  <sheetData>
    <row r="1" spans="1:6">
      <c r="A1" s="102" t="str">
        <f>'Lean Canvas'!R8</f>
        <v>Customer Segments</v>
      </c>
    </row>
    <row r="2" spans="1:6">
      <c r="A2" s="100" t="s">
        <v>26</v>
      </c>
      <c r="C2" s="518">
        <f>'Lean Canvas'!R10</f>
        <v>0</v>
      </c>
      <c r="D2" s="519"/>
      <c r="E2" s="519"/>
      <c r="F2" s="519"/>
    </row>
    <row r="3" spans="1:6" ht="111" customHeight="1">
      <c r="A3" s="99"/>
      <c r="C3" s="519"/>
      <c r="D3" s="519"/>
      <c r="E3" s="519"/>
      <c r="F3" s="519"/>
    </row>
    <row r="4" spans="1:6">
      <c r="A4" s="100" t="s">
        <v>27</v>
      </c>
      <c r="C4" s="519"/>
      <c r="D4" s="519"/>
      <c r="E4" s="519"/>
      <c r="F4" s="519"/>
    </row>
    <row r="5" spans="1:6" ht="111" customHeight="1">
      <c r="A5" s="99"/>
      <c r="C5" s="519"/>
      <c r="D5" s="519"/>
      <c r="E5" s="519"/>
      <c r="F5" s="519"/>
    </row>
    <row r="6" spans="1:6" ht="31.5">
      <c r="A6" s="103" t="s">
        <v>28</v>
      </c>
      <c r="C6" s="519"/>
      <c r="D6" s="519"/>
      <c r="E6" s="519"/>
      <c r="F6" s="519"/>
    </row>
    <row r="7" spans="1:6" ht="111" customHeight="1">
      <c r="A7" s="99"/>
      <c r="C7" s="519"/>
      <c r="D7" s="519"/>
      <c r="E7" s="519"/>
      <c r="F7" s="519"/>
    </row>
    <row r="8" spans="1:6" ht="31.5">
      <c r="A8" s="458" t="s">
        <v>29</v>
      </c>
    </row>
    <row r="9" spans="1:6" ht="111" customHeight="1">
      <c r="A9" s="99"/>
    </row>
    <row r="10" spans="1:6" s="97" customFormat="1" ht="18.75">
      <c r="C10" s="520" t="s">
        <v>25</v>
      </c>
      <c r="D10" s="521"/>
    </row>
    <row r="11" spans="1:6" s="97" customFormat="1"/>
    <row r="12" spans="1:6" s="97" customFormat="1"/>
    <row r="13" spans="1:6" s="97" customFormat="1"/>
    <row r="14" spans="1:6" s="97" customFormat="1"/>
    <row r="15" spans="1:6" s="97" customFormat="1"/>
    <row r="16" spans="1:6" s="97" customFormat="1"/>
    <row r="17" s="97" customFormat="1"/>
    <row r="18" s="97" customFormat="1"/>
    <row r="19" s="97" customFormat="1"/>
    <row r="20" s="97" customFormat="1"/>
    <row r="21" s="97" customFormat="1"/>
    <row r="22" s="97" customFormat="1"/>
    <row r="23" s="97" customFormat="1"/>
    <row r="24" s="97" customFormat="1"/>
    <row r="25" s="97" customFormat="1"/>
    <row r="26" s="97" customFormat="1"/>
    <row r="27" s="97" customFormat="1"/>
    <row r="28" s="97" customFormat="1"/>
    <row r="29" s="97" customFormat="1"/>
    <row r="30" s="97" customFormat="1"/>
    <row r="31" s="97" customFormat="1"/>
    <row r="32" s="97" customFormat="1"/>
    <row r="33" s="97" customFormat="1"/>
    <row r="34" s="97" customFormat="1"/>
    <row r="35" s="97" customFormat="1"/>
    <row r="36" s="97" customFormat="1"/>
    <row r="37" s="97" customFormat="1"/>
    <row r="38" s="97" customFormat="1"/>
    <row r="39" s="97" customFormat="1"/>
    <row r="40" s="97" customFormat="1"/>
    <row r="41" s="97" customFormat="1"/>
    <row r="42" s="97" customFormat="1"/>
    <row r="43" s="97" customFormat="1"/>
    <row r="44" s="97" customFormat="1"/>
    <row r="45" s="97" customFormat="1"/>
    <row r="46" s="97" customFormat="1"/>
    <row r="47" s="97" customFormat="1"/>
    <row r="48" s="97" customFormat="1"/>
    <row r="49" s="97" customFormat="1"/>
    <row r="50" s="97" customFormat="1"/>
    <row r="51" s="97" customFormat="1"/>
    <row r="52" s="97" customFormat="1"/>
    <row r="53" s="97" customFormat="1"/>
    <row r="54" s="97" customFormat="1"/>
    <row r="55" s="97" customFormat="1"/>
    <row r="56" s="97" customFormat="1"/>
    <row r="57" s="97" customFormat="1"/>
    <row r="58" s="97" customFormat="1"/>
    <row r="59" s="97" customFormat="1"/>
    <row r="60" s="97" customFormat="1"/>
    <row r="61" s="97" customFormat="1"/>
    <row r="62" s="97" customFormat="1"/>
    <row r="63" s="97" customFormat="1"/>
    <row r="64" s="97" customFormat="1"/>
    <row r="65" s="97" customFormat="1"/>
    <row r="66" s="97" customFormat="1"/>
    <row r="67" s="97" customFormat="1"/>
    <row r="68" s="97" customFormat="1"/>
    <row r="69" s="97" customFormat="1"/>
    <row r="70" s="97" customFormat="1"/>
    <row r="71" s="97" customFormat="1"/>
    <row r="72" s="97" customFormat="1"/>
    <row r="73" s="97" customFormat="1"/>
    <row r="74" s="97" customFormat="1"/>
    <row r="75" s="97" customFormat="1"/>
    <row r="76" s="97" customFormat="1"/>
    <row r="77" s="97" customFormat="1"/>
    <row r="78" s="97" customFormat="1"/>
    <row r="79" s="97" customFormat="1"/>
    <row r="80" s="97" customFormat="1"/>
    <row r="81" s="97" customFormat="1"/>
    <row r="82" s="97" customFormat="1"/>
    <row r="83" s="97" customFormat="1"/>
    <row r="84" s="97" customFormat="1"/>
    <row r="85" s="97" customFormat="1"/>
    <row r="86" s="97" customFormat="1"/>
    <row r="87" s="97" customFormat="1"/>
    <row r="88" s="97" customFormat="1"/>
    <row r="89" s="97" customFormat="1"/>
    <row r="90" s="97" customFormat="1"/>
    <row r="91" s="97" customFormat="1"/>
    <row r="92" s="97" customFormat="1"/>
    <row r="93" s="97" customFormat="1"/>
    <row r="94" s="97" customFormat="1"/>
    <row r="95" s="97" customFormat="1"/>
    <row r="96" s="97" customFormat="1"/>
    <row r="97" s="97" customFormat="1"/>
    <row r="98" s="97" customFormat="1"/>
    <row r="99" s="97" customFormat="1"/>
    <row r="100" s="97" customFormat="1"/>
    <row r="101" s="97" customFormat="1"/>
    <row r="102" s="97" customFormat="1"/>
    <row r="103" s="97" customFormat="1"/>
    <row r="104" s="97" customFormat="1"/>
    <row r="105" s="97" customFormat="1"/>
    <row r="106" s="97" customFormat="1"/>
    <row r="107" s="97" customFormat="1"/>
    <row r="108" s="97" customFormat="1"/>
    <row r="109" s="97" customFormat="1"/>
    <row r="110" s="97" customFormat="1"/>
    <row r="111" s="97" customFormat="1"/>
    <row r="112" s="97" customFormat="1"/>
    <row r="113" s="97" customFormat="1"/>
    <row r="114" s="97" customFormat="1"/>
    <row r="115" s="97" customFormat="1"/>
    <row r="116" s="97" customFormat="1"/>
    <row r="117" s="97" customFormat="1"/>
    <row r="118" s="97" customFormat="1"/>
    <row r="119" s="97" customFormat="1"/>
    <row r="120" s="97" customFormat="1"/>
    <row r="121" s="97" customFormat="1"/>
    <row r="122" s="97" customFormat="1"/>
    <row r="123" s="97" customFormat="1"/>
    <row r="124" s="97" customFormat="1"/>
    <row r="125" s="97" customFormat="1"/>
    <row r="126" s="97" customFormat="1"/>
    <row r="127" s="97" customFormat="1"/>
    <row r="128" s="97" customFormat="1"/>
    <row r="129" s="97" customFormat="1"/>
    <row r="130" s="97" customFormat="1"/>
    <row r="131" s="97" customFormat="1"/>
    <row r="132" s="97" customFormat="1"/>
    <row r="133" s="97" customFormat="1"/>
    <row r="134" s="97" customFormat="1"/>
    <row r="135" s="97" customFormat="1"/>
    <row r="136" s="97" customFormat="1"/>
    <row r="137" s="97" customFormat="1"/>
    <row r="138" s="97" customFormat="1"/>
    <row r="139" s="97" customFormat="1"/>
    <row r="140" s="97" customFormat="1"/>
    <row r="141" s="97" customFormat="1"/>
    <row r="142" s="97" customFormat="1"/>
    <row r="143" s="97" customFormat="1"/>
    <row r="144" s="97" customFormat="1"/>
    <row r="145" s="97" customFormat="1"/>
    <row r="146" s="97" customFormat="1"/>
    <row r="147" s="97" customFormat="1"/>
    <row r="148" s="97" customFormat="1"/>
    <row r="149" s="97" customFormat="1"/>
    <row r="150" s="97" customFormat="1"/>
    <row r="151" s="97" customFormat="1"/>
    <row r="152" s="97" customFormat="1"/>
    <row r="153" s="97" customFormat="1"/>
    <row r="154" s="97" customFormat="1"/>
    <row r="155" s="97" customFormat="1"/>
    <row r="156" s="97" customFormat="1"/>
    <row r="157" s="97" customFormat="1"/>
    <row r="158" s="97" customFormat="1"/>
    <row r="159" s="97" customFormat="1"/>
    <row r="160" s="97" customFormat="1"/>
    <row r="161" s="97" customFormat="1"/>
    <row r="162" s="97" customFormat="1"/>
    <row r="163" s="97" customFormat="1"/>
    <row r="164" s="97" customFormat="1"/>
    <row r="165" s="97" customFormat="1"/>
    <row r="166" s="97" customFormat="1"/>
    <row r="167" s="97" customFormat="1"/>
    <row r="168" s="97" customFormat="1"/>
    <row r="169" s="97" customFormat="1"/>
    <row r="170" s="97" customFormat="1"/>
    <row r="171" s="97" customFormat="1"/>
    <row r="172" s="97" customFormat="1"/>
    <row r="173" s="97" customFormat="1"/>
    <row r="174" s="97" customFormat="1"/>
    <row r="175" s="97" customFormat="1"/>
    <row r="176" s="97" customFormat="1"/>
    <row r="177" s="97" customFormat="1"/>
    <row r="178" s="97" customFormat="1"/>
    <row r="179" s="97" customFormat="1"/>
    <row r="180" s="97" customFormat="1"/>
    <row r="181" s="97" customFormat="1"/>
    <row r="182" s="97" customFormat="1"/>
    <row r="183" s="97" customFormat="1"/>
    <row r="184" s="97" customFormat="1"/>
    <row r="185" s="97" customFormat="1"/>
    <row r="186" s="97" customFormat="1"/>
    <row r="187" s="97" customFormat="1"/>
    <row r="188" s="97" customFormat="1"/>
    <row r="189" s="97" customFormat="1"/>
    <row r="190" s="97" customFormat="1"/>
    <row r="191" s="97" customFormat="1"/>
    <row r="192" s="97" customFormat="1"/>
    <row r="193" s="97" customFormat="1"/>
    <row r="194" s="97" customFormat="1"/>
    <row r="195" s="97" customFormat="1"/>
    <row r="196" s="97" customFormat="1"/>
    <row r="197" s="97" customFormat="1"/>
    <row r="198" s="97" customFormat="1"/>
    <row r="199" s="97" customFormat="1"/>
    <row r="200" s="97" customFormat="1"/>
    <row r="201" s="97" customFormat="1"/>
    <row r="202" s="97" customFormat="1"/>
    <row r="203" s="97" customFormat="1"/>
    <row r="204" s="97" customFormat="1"/>
    <row r="205" s="97" customFormat="1"/>
    <row r="206" s="97" customFormat="1"/>
    <row r="207" s="97" customFormat="1"/>
    <row r="208" s="97" customFormat="1"/>
    <row r="209" s="97" customFormat="1"/>
    <row r="210" s="97" customFormat="1"/>
    <row r="211" s="97" customFormat="1"/>
    <row r="212" s="97" customFormat="1"/>
  </sheetData>
  <sheetProtection sheet="1" objects="1" scenarios="1"/>
  <mergeCells count="2">
    <mergeCell ref="C2:F7"/>
    <mergeCell ref="C10:D10"/>
  </mergeCells>
  <hyperlinks>
    <hyperlink ref="C10" location="'Lean Canvas'!A1" display="Back Lean Canvas" xr:uid="{0D0FA3E6-339A-4DCD-92E6-E3341EB8C22A}"/>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8A641-26C4-40A4-A231-DA404DBC9395}">
  <sheetPr codeName="Sheet4"/>
  <dimension ref="A1:BM568"/>
  <sheetViews>
    <sheetView topLeftCell="A5" workbookViewId="0">
      <selection activeCell="A8" sqref="A8"/>
    </sheetView>
  </sheetViews>
  <sheetFormatPr defaultRowHeight="15.75"/>
  <cols>
    <col min="1" max="1" width="93.625" customWidth="1"/>
    <col min="2" max="65" width="9" style="97"/>
  </cols>
  <sheetData>
    <row r="1" spans="1:9" s="97" customFormat="1">
      <c r="A1" s="98" t="str">
        <f>'Lean Canvas'!F8</f>
        <v>Your Solution</v>
      </c>
    </row>
    <row r="2" spans="1:9" s="97" customFormat="1">
      <c r="A2" s="97" t="s">
        <v>30</v>
      </c>
      <c r="F2" s="518">
        <f>'Lean Canvas'!F10</f>
        <v>0</v>
      </c>
      <c r="G2" s="518"/>
      <c r="H2" s="518"/>
      <c r="I2" s="518"/>
    </row>
    <row r="3" spans="1:9" ht="140.25" customHeight="1">
      <c r="A3" s="99"/>
      <c r="F3" s="518"/>
      <c r="G3" s="518"/>
      <c r="H3" s="518"/>
      <c r="I3" s="518"/>
    </row>
    <row r="4" spans="1:9" s="97" customFormat="1">
      <c r="A4" s="97" t="s">
        <v>31</v>
      </c>
      <c r="F4" s="518"/>
      <c r="G4" s="518"/>
      <c r="H4" s="518"/>
      <c r="I4" s="518"/>
    </row>
    <row r="5" spans="1:9" s="97" customFormat="1" ht="111" customHeight="1">
      <c r="A5" s="99"/>
      <c r="F5" s="518"/>
      <c r="G5" s="518"/>
      <c r="H5" s="518"/>
      <c r="I5" s="518"/>
    </row>
    <row r="6" spans="1:9" s="97" customFormat="1" ht="18.75">
      <c r="A6" s="97" t="s">
        <v>32</v>
      </c>
      <c r="G6" s="520" t="s">
        <v>25</v>
      </c>
      <c r="H6" s="521"/>
    </row>
    <row r="7" spans="1:9" s="97" customFormat="1" ht="111" customHeight="1">
      <c r="A7" s="99"/>
    </row>
    <row r="8" spans="1:9" s="97" customFormat="1" ht="31.5">
      <c r="A8" s="459" t="s">
        <v>33</v>
      </c>
      <c r="G8" s="520" t="s">
        <v>25</v>
      </c>
      <c r="H8" s="521"/>
    </row>
    <row r="9" spans="1:9" s="97" customFormat="1" ht="111" customHeight="1">
      <c r="A9" s="99"/>
    </row>
    <row r="10" spans="1:9" s="97" customFormat="1"/>
    <row r="11" spans="1:9" s="97" customFormat="1"/>
    <row r="12" spans="1:9" s="97" customFormat="1"/>
    <row r="13" spans="1:9" s="97" customFormat="1"/>
    <row r="14" spans="1:9" s="97" customFormat="1"/>
    <row r="15" spans="1:9" s="97" customFormat="1"/>
    <row r="16" spans="1:9" s="97" customFormat="1"/>
    <row r="17" s="97" customFormat="1"/>
    <row r="18" s="97" customFormat="1"/>
    <row r="19" s="97" customFormat="1"/>
    <row r="20" s="97" customFormat="1"/>
    <row r="21" s="97" customFormat="1"/>
    <row r="22" s="97" customFormat="1"/>
    <row r="23" s="97" customFormat="1"/>
    <row r="24" s="97" customFormat="1"/>
    <row r="25" s="97" customFormat="1"/>
    <row r="26" s="97" customFormat="1"/>
    <row r="27" s="97" customFormat="1"/>
    <row r="28" s="97" customFormat="1"/>
    <row r="29" s="97" customFormat="1"/>
    <row r="30" s="97" customFormat="1"/>
    <row r="31" s="97" customFormat="1"/>
    <row r="32" s="97" customFormat="1"/>
    <row r="33" s="97" customFormat="1"/>
    <row r="34" s="97" customFormat="1"/>
    <row r="35" s="97" customFormat="1"/>
    <row r="36" s="97" customFormat="1"/>
    <row r="37" s="97" customFormat="1"/>
    <row r="38" s="97" customFormat="1"/>
    <row r="39" s="97" customFormat="1"/>
    <row r="40" s="97" customFormat="1"/>
    <row r="41" s="97" customFormat="1"/>
    <row r="42" s="97" customFormat="1"/>
    <row r="43" s="97" customFormat="1"/>
    <row r="44" s="97" customFormat="1"/>
    <row r="45" s="97" customFormat="1"/>
    <row r="46" s="97" customFormat="1"/>
    <row r="47" s="97" customFormat="1"/>
    <row r="48" s="97" customFormat="1"/>
    <row r="49" s="97" customFormat="1"/>
    <row r="50" s="97" customFormat="1"/>
    <row r="51" s="97" customFormat="1"/>
    <row r="52" s="97" customFormat="1"/>
    <row r="53" s="97" customFormat="1"/>
    <row r="54" s="97" customFormat="1"/>
    <row r="55" s="97" customFormat="1"/>
    <row r="56" s="97" customFormat="1"/>
    <row r="57" s="97" customFormat="1"/>
    <row r="58" s="97" customFormat="1"/>
    <row r="59" s="97" customFormat="1"/>
    <row r="60" s="97" customFormat="1"/>
    <row r="61" s="97" customFormat="1"/>
    <row r="62" s="97" customFormat="1"/>
    <row r="63" s="97" customFormat="1"/>
    <row r="64" s="97" customFormat="1"/>
    <row r="65" s="97" customFormat="1"/>
    <row r="66" s="97" customFormat="1"/>
    <row r="67" s="97" customFormat="1"/>
    <row r="68" s="97" customFormat="1"/>
    <row r="69" s="97" customFormat="1"/>
    <row r="70" s="97" customFormat="1"/>
    <row r="71" s="97" customFormat="1"/>
    <row r="72" s="97" customFormat="1"/>
    <row r="73" s="97" customFormat="1"/>
    <row r="74" s="97" customFormat="1"/>
    <row r="75" s="97" customFormat="1"/>
    <row r="76" s="97" customFormat="1"/>
    <row r="77" s="97" customFormat="1"/>
    <row r="78" s="97" customFormat="1"/>
    <row r="79" s="97" customFormat="1"/>
    <row r="80" s="97" customFormat="1"/>
    <row r="81" s="97" customFormat="1"/>
    <row r="82" s="97" customFormat="1"/>
    <row r="83" s="97" customFormat="1"/>
    <row r="84" s="97" customFormat="1"/>
    <row r="85" s="97" customFormat="1"/>
    <row r="86" s="97" customFormat="1"/>
    <row r="87" s="97" customFormat="1"/>
    <row r="88" s="97" customFormat="1"/>
    <row r="89" s="97" customFormat="1"/>
    <row r="90" s="97" customFormat="1"/>
    <row r="91" s="97" customFormat="1"/>
    <row r="92" s="97" customFormat="1"/>
    <row r="93" s="97" customFormat="1"/>
    <row r="94" s="97" customFormat="1"/>
    <row r="95" s="97" customFormat="1"/>
    <row r="96" s="97" customFormat="1"/>
    <row r="97" s="97" customFormat="1"/>
    <row r="98" s="97" customFormat="1"/>
    <row r="99" s="97" customFormat="1"/>
    <row r="100" s="97" customFormat="1"/>
    <row r="101" s="97" customFormat="1"/>
    <row r="102" s="97" customFormat="1"/>
    <row r="103" s="97" customFormat="1"/>
    <row r="104" s="97" customFormat="1"/>
    <row r="105" s="97" customFormat="1"/>
    <row r="106" s="97" customFormat="1"/>
    <row r="107" s="97" customFormat="1"/>
    <row r="108" s="97" customFormat="1"/>
    <row r="109" s="97" customFormat="1"/>
    <row r="110" s="97" customFormat="1"/>
    <row r="111" s="97" customFormat="1"/>
    <row r="112" s="97" customFormat="1"/>
    <row r="113" s="97" customFormat="1"/>
    <row r="114" s="97" customFormat="1"/>
    <row r="115" s="97" customFormat="1"/>
    <row r="116" s="97" customFormat="1"/>
    <row r="117" s="97" customFormat="1"/>
    <row r="118" s="97" customFormat="1"/>
    <row r="119" s="97" customFormat="1"/>
    <row r="120" s="97" customFormat="1"/>
    <row r="121" s="97" customFormat="1"/>
    <row r="122" s="97" customFormat="1"/>
    <row r="123" s="97" customFormat="1"/>
    <row r="124" s="97" customFormat="1"/>
    <row r="125" s="97" customFormat="1"/>
    <row r="126" s="97" customFormat="1"/>
    <row r="127" s="97" customFormat="1"/>
    <row r="128" s="97" customFormat="1"/>
    <row r="129" s="97" customFormat="1"/>
    <row r="130" s="97" customFormat="1"/>
    <row r="131" s="97" customFormat="1"/>
    <row r="132" s="97" customFormat="1"/>
    <row r="133" s="97" customFormat="1"/>
    <row r="134" s="97" customFormat="1"/>
    <row r="135" s="97" customFormat="1"/>
    <row r="136" s="97" customFormat="1"/>
    <row r="137" s="97" customFormat="1"/>
    <row r="138" s="97" customFormat="1"/>
    <row r="139" s="97" customFormat="1"/>
    <row r="140" s="97" customFormat="1"/>
    <row r="141" s="97" customFormat="1"/>
    <row r="142" s="97" customFormat="1"/>
    <row r="143" s="97" customFormat="1"/>
    <row r="144" s="97" customFormat="1"/>
    <row r="145" s="97" customFormat="1"/>
    <row r="146" s="97" customFormat="1"/>
    <row r="147" s="97" customFormat="1"/>
    <row r="148" s="97" customFormat="1"/>
    <row r="149" s="97" customFormat="1"/>
    <row r="150" s="97" customFormat="1"/>
    <row r="151" s="97" customFormat="1"/>
    <row r="152" s="97" customFormat="1"/>
    <row r="153" s="97" customFormat="1"/>
    <row r="154" s="97" customFormat="1"/>
    <row r="155" s="97" customFormat="1"/>
    <row r="156" s="97" customFormat="1"/>
    <row r="157" s="97" customFormat="1"/>
    <row r="158" s="97" customFormat="1"/>
    <row r="159" s="97" customFormat="1"/>
    <row r="160" s="97" customFormat="1"/>
    <row r="161" s="97" customFormat="1"/>
    <row r="162" s="97" customFormat="1"/>
    <row r="163" s="97" customFormat="1"/>
    <row r="164" s="97" customFormat="1"/>
    <row r="165" s="97" customFormat="1"/>
    <row r="166" s="97" customFormat="1"/>
    <row r="167" s="97" customFormat="1"/>
    <row r="168" s="97" customFormat="1"/>
    <row r="169" s="97" customFormat="1"/>
    <row r="170" s="97" customFormat="1"/>
    <row r="171" s="97" customFormat="1"/>
    <row r="172" s="97" customFormat="1"/>
    <row r="173" s="97" customFormat="1"/>
    <row r="174" s="97" customFormat="1"/>
    <row r="175" s="97" customFormat="1"/>
    <row r="176" s="97" customFormat="1"/>
    <row r="177" s="97" customFormat="1"/>
    <row r="178" s="97" customFormat="1"/>
    <row r="179" s="97" customFormat="1"/>
    <row r="180" s="97" customFormat="1"/>
    <row r="181" s="97" customFormat="1"/>
    <row r="182" s="97" customFormat="1"/>
    <row r="183" s="97" customFormat="1"/>
    <row r="184" s="97" customFormat="1"/>
    <row r="185" s="97" customFormat="1"/>
    <row r="186" s="97" customFormat="1"/>
    <row r="187" s="97" customFormat="1"/>
    <row r="188" s="97" customFormat="1"/>
    <row r="189" s="97" customFormat="1"/>
    <row r="190" s="97" customFormat="1"/>
    <row r="191" s="97" customFormat="1"/>
    <row r="192" s="97" customFormat="1"/>
    <row r="193" s="97" customFormat="1"/>
    <row r="194" s="97" customFormat="1"/>
    <row r="195" s="97" customFormat="1"/>
    <row r="196" s="97" customFormat="1"/>
    <row r="197" s="97" customFormat="1"/>
    <row r="198" s="97" customFormat="1"/>
    <row r="199" s="97" customFormat="1"/>
    <row r="200" s="97" customFormat="1"/>
    <row r="201" s="97" customFormat="1"/>
    <row r="202" s="97" customFormat="1"/>
    <row r="203" s="97" customFormat="1"/>
    <row r="204" s="97" customFormat="1"/>
    <row r="205" s="97" customFormat="1"/>
    <row r="206" s="97" customFormat="1"/>
    <row r="207" s="97" customFormat="1"/>
    <row r="208" s="97" customFormat="1"/>
    <row r="209" s="97" customFormat="1"/>
    <row r="210" s="97" customFormat="1"/>
    <row r="211" s="97" customFormat="1"/>
    <row r="212" s="97" customFormat="1"/>
    <row r="213" s="97" customFormat="1"/>
    <row r="214" s="97" customFormat="1"/>
    <row r="215" s="97" customFormat="1"/>
    <row r="216" s="97" customFormat="1"/>
    <row r="217" s="97" customFormat="1"/>
    <row r="218" s="97" customFormat="1"/>
    <row r="219" s="97" customFormat="1"/>
    <row r="220" s="97" customFormat="1"/>
    <row r="221" s="97" customFormat="1"/>
    <row r="222" s="97" customFormat="1"/>
    <row r="223" s="97" customFormat="1"/>
    <row r="224" s="97" customFormat="1"/>
    <row r="225" s="97" customFormat="1"/>
    <row r="226" s="97" customFormat="1"/>
    <row r="227" s="97" customFormat="1"/>
    <row r="228" s="97" customFormat="1"/>
    <row r="229" s="97" customFormat="1"/>
    <row r="230" s="97" customFormat="1"/>
    <row r="231" s="97" customFormat="1"/>
    <row r="232" s="97" customFormat="1"/>
    <row r="233" s="97" customFormat="1"/>
    <row r="234" s="97" customFormat="1"/>
    <row r="235" s="97" customFormat="1"/>
    <row r="236" s="97" customFormat="1"/>
    <row r="237" s="97" customFormat="1"/>
    <row r="238" s="97" customFormat="1"/>
    <row r="239" s="97" customFormat="1"/>
    <row r="240" s="97" customFormat="1"/>
    <row r="241" s="97" customFormat="1"/>
    <row r="242" s="97" customFormat="1"/>
    <row r="243" s="97" customFormat="1"/>
    <row r="244" s="97" customFormat="1"/>
    <row r="245" s="97" customFormat="1"/>
    <row r="246" s="97" customFormat="1"/>
    <row r="247" s="97" customFormat="1"/>
    <row r="248" s="97" customFormat="1"/>
    <row r="249" s="97" customFormat="1"/>
    <row r="250" s="97" customFormat="1"/>
    <row r="251" s="97" customFormat="1"/>
    <row r="252" s="97" customFormat="1"/>
    <row r="253" s="97" customFormat="1"/>
    <row r="254" s="97" customFormat="1"/>
    <row r="255" s="97" customFormat="1"/>
    <row r="256" s="97" customFormat="1"/>
    <row r="257" s="97" customFormat="1"/>
    <row r="258" s="97" customFormat="1"/>
    <row r="259" s="97" customFormat="1"/>
    <row r="260" s="97" customFormat="1"/>
    <row r="261" s="97" customFormat="1"/>
    <row r="262" s="97" customFormat="1"/>
    <row r="263" s="97" customFormat="1"/>
    <row r="264" s="97" customFormat="1"/>
    <row r="265" s="97" customFormat="1"/>
    <row r="266" s="97" customFormat="1"/>
    <row r="267" s="97" customFormat="1"/>
    <row r="268" s="97" customFormat="1"/>
    <row r="269" s="97" customFormat="1"/>
    <row r="270" s="97" customFormat="1"/>
    <row r="271" s="97" customFormat="1"/>
    <row r="272" s="97" customFormat="1"/>
    <row r="273" s="97" customFormat="1"/>
    <row r="274" s="97" customFormat="1"/>
    <row r="275" s="97" customFormat="1"/>
    <row r="276" s="97" customFormat="1"/>
    <row r="277" s="97" customFormat="1"/>
    <row r="278" s="97" customFormat="1"/>
    <row r="279" s="97" customFormat="1"/>
    <row r="280" s="97" customFormat="1"/>
    <row r="281" s="97" customFormat="1"/>
    <row r="282" s="97" customFormat="1"/>
    <row r="283" s="97" customFormat="1"/>
    <row r="284" s="97" customFormat="1"/>
    <row r="285" s="97" customFormat="1"/>
    <row r="286" s="97" customFormat="1"/>
    <row r="287" s="97" customFormat="1"/>
    <row r="288" s="97" customFormat="1"/>
    <row r="289" s="97" customFormat="1"/>
    <row r="290" s="97" customFormat="1"/>
    <row r="291" s="97" customFormat="1"/>
    <row r="292" s="97" customFormat="1"/>
    <row r="293" s="97" customFormat="1"/>
    <row r="294" s="97" customFormat="1"/>
    <row r="295" s="97" customFormat="1"/>
    <row r="296" s="97" customFormat="1"/>
    <row r="297" s="97" customFormat="1"/>
    <row r="298" s="97" customFormat="1"/>
    <row r="299" s="97" customFormat="1"/>
    <row r="300" s="97" customFormat="1"/>
    <row r="301" s="97" customFormat="1"/>
    <row r="302" s="97" customFormat="1"/>
    <row r="303" s="97" customFormat="1"/>
    <row r="304" s="97" customFormat="1"/>
    <row r="305" s="97" customFormat="1"/>
    <row r="306" s="97" customFormat="1"/>
    <row r="307" s="97" customFormat="1"/>
    <row r="308" s="97" customFormat="1"/>
    <row r="309" s="97" customFormat="1"/>
    <row r="310" s="97" customFormat="1"/>
    <row r="311" s="97" customFormat="1"/>
    <row r="312" s="97" customFormat="1"/>
    <row r="313" s="97" customFormat="1"/>
    <row r="314" s="97" customFormat="1"/>
    <row r="315" s="97" customFormat="1"/>
    <row r="316" s="97" customFormat="1"/>
    <row r="317" s="97" customFormat="1"/>
    <row r="318" s="97" customFormat="1"/>
    <row r="319" s="97" customFormat="1"/>
    <row r="320" s="97" customFormat="1"/>
    <row r="321" s="97" customFormat="1"/>
    <row r="322" s="97" customFormat="1"/>
    <row r="323" s="97" customFormat="1"/>
    <row r="324" s="97" customFormat="1"/>
    <row r="325" s="97" customFormat="1"/>
    <row r="326" s="97" customFormat="1"/>
    <row r="327" s="97" customFormat="1"/>
    <row r="328" s="97" customFormat="1"/>
    <row r="329" s="97" customFormat="1"/>
    <row r="330" s="97" customFormat="1"/>
    <row r="331" s="97" customFormat="1"/>
    <row r="332" s="97" customFormat="1"/>
    <row r="333" s="97" customFormat="1"/>
    <row r="334" s="97" customFormat="1"/>
    <row r="335" s="97" customFormat="1"/>
    <row r="336" s="97" customFormat="1"/>
    <row r="337" s="97" customFormat="1"/>
    <row r="338" s="97" customFormat="1"/>
    <row r="339" s="97" customFormat="1"/>
    <row r="340" s="97" customFormat="1"/>
    <row r="341" s="97" customFormat="1"/>
    <row r="342" s="97" customFormat="1"/>
    <row r="343" s="97" customFormat="1"/>
    <row r="344" s="97" customFormat="1"/>
    <row r="345" s="97" customFormat="1"/>
    <row r="346" s="97" customFormat="1"/>
    <row r="347" s="97" customFormat="1"/>
    <row r="348" s="97" customFormat="1"/>
    <row r="349" s="97" customFormat="1"/>
    <row r="350" s="97" customFormat="1"/>
    <row r="351" s="97" customFormat="1"/>
    <row r="352" s="97" customFormat="1"/>
    <row r="353" s="97" customFormat="1"/>
    <row r="354" s="97" customFormat="1"/>
    <row r="355" s="97" customFormat="1"/>
    <row r="356" s="97" customFormat="1"/>
    <row r="357" s="97" customFormat="1"/>
    <row r="358" s="97" customFormat="1"/>
    <row r="359" s="97" customFormat="1"/>
    <row r="360" s="97" customFormat="1"/>
    <row r="361" s="97" customFormat="1"/>
    <row r="362" s="97" customFormat="1"/>
    <row r="363" s="97" customFormat="1"/>
    <row r="364" s="97" customFormat="1"/>
    <row r="365" s="97" customFormat="1"/>
    <row r="366" s="97" customFormat="1"/>
    <row r="367" s="97" customFormat="1"/>
    <row r="368" s="97" customFormat="1"/>
    <row r="369" s="97" customFormat="1"/>
    <row r="370" s="97" customFormat="1"/>
    <row r="371" s="97" customFormat="1"/>
    <row r="372" s="97" customFormat="1"/>
    <row r="373" s="97" customFormat="1"/>
    <row r="374" s="97" customFormat="1"/>
    <row r="375" s="97" customFormat="1"/>
    <row r="376" s="97" customFormat="1"/>
    <row r="377" s="97" customFormat="1"/>
    <row r="378" s="97" customFormat="1"/>
    <row r="379" s="97" customFormat="1"/>
    <row r="380" s="97" customFormat="1"/>
    <row r="381" s="97" customFormat="1"/>
    <row r="382" s="97" customFormat="1"/>
    <row r="383" s="97" customFormat="1"/>
    <row r="384" s="97" customFormat="1"/>
    <row r="385" s="97" customFormat="1"/>
    <row r="386" s="97" customFormat="1"/>
    <row r="387" s="97" customFormat="1"/>
    <row r="388" s="97" customFormat="1"/>
    <row r="389" s="97" customFormat="1"/>
    <row r="390" s="97" customFormat="1"/>
    <row r="391" s="97" customFormat="1"/>
    <row r="392" s="97" customFormat="1"/>
    <row r="393" s="97" customFormat="1"/>
    <row r="394" s="97" customFormat="1"/>
    <row r="395" s="97" customFormat="1"/>
    <row r="396" s="97" customFormat="1"/>
    <row r="397" s="97" customFormat="1"/>
    <row r="398" s="97" customFormat="1"/>
    <row r="399" s="97" customFormat="1"/>
    <row r="400" s="97" customFormat="1"/>
    <row r="401" s="97" customFormat="1"/>
    <row r="402" s="97" customFormat="1"/>
    <row r="403" s="97" customFormat="1"/>
    <row r="404" s="97" customFormat="1"/>
    <row r="405" s="97" customFormat="1"/>
    <row r="406" s="97" customFormat="1"/>
    <row r="407" s="97" customFormat="1"/>
    <row r="408" s="97" customFormat="1"/>
    <row r="409" s="97" customFormat="1"/>
    <row r="410" s="97" customFormat="1"/>
    <row r="411" s="97" customFormat="1"/>
    <row r="412" s="97" customFormat="1"/>
    <row r="413" s="97" customFormat="1"/>
    <row r="414" s="97" customFormat="1"/>
    <row r="415" s="97" customFormat="1"/>
    <row r="416" s="97" customFormat="1"/>
    <row r="417" s="97" customFormat="1"/>
    <row r="418" s="97" customFormat="1"/>
    <row r="419" s="97" customFormat="1"/>
    <row r="420" s="97" customFormat="1"/>
    <row r="421" s="97" customFormat="1"/>
    <row r="422" s="97" customFormat="1"/>
    <row r="423" s="97" customFormat="1"/>
    <row r="424" s="97" customFormat="1"/>
    <row r="425" s="97" customFormat="1"/>
    <row r="426" s="97" customFormat="1"/>
    <row r="427" s="97" customFormat="1"/>
    <row r="428" s="97" customFormat="1"/>
    <row r="429" s="97" customFormat="1"/>
    <row r="430" s="97" customFormat="1"/>
    <row r="431" s="97" customFormat="1"/>
    <row r="432" s="97" customFormat="1"/>
    <row r="433" s="97" customFormat="1"/>
    <row r="434" s="97" customFormat="1"/>
    <row r="435" s="97" customFormat="1"/>
    <row r="436" s="97" customFormat="1"/>
    <row r="437" s="97" customFormat="1"/>
    <row r="438" s="97" customFormat="1"/>
    <row r="439" s="97" customFormat="1"/>
    <row r="440" s="97" customFormat="1"/>
    <row r="441" s="97" customFormat="1"/>
    <row r="442" s="97" customFormat="1"/>
    <row r="443" s="97" customFormat="1"/>
    <row r="444" s="97" customFormat="1"/>
    <row r="445" s="97" customFormat="1"/>
    <row r="446" s="97" customFormat="1"/>
    <row r="447" s="97" customFormat="1"/>
    <row r="448" s="97" customFormat="1"/>
    <row r="449" s="97" customFormat="1"/>
    <row r="450" s="97" customFormat="1"/>
    <row r="451" s="97" customFormat="1"/>
    <row r="452" s="97" customFormat="1"/>
    <row r="453" s="97" customFormat="1"/>
    <row r="454" s="97" customFormat="1"/>
    <row r="455" s="97" customFormat="1"/>
    <row r="456" s="97" customFormat="1"/>
    <row r="457" s="97" customFormat="1"/>
    <row r="458" s="97" customFormat="1"/>
    <row r="459" s="97" customFormat="1"/>
    <row r="460" s="97" customFormat="1"/>
    <row r="461" s="97" customFormat="1"/>
    <row r="462" s="97" customFormat="1"/>
    <row r="463" s="97" customFormat="1"/>
    <row r="464" s="97" customFormat="1"/>
    <row r="465" s="97" customFormat="1"/>
    <row r="466" s="97" customFormat="1"/>
    <row r="467" s="97" customFormat="1"/>
    <row r="468" s="97" customFormat="1"/>
    <row r="469" s="97" customFormat="1"/>
    <row r="470" s="97" customFormat="1"/>
    <row r="471" s="97" customFormat="1"/>
    <row r="472" s="97" customFormat="1"/>
    <row r="473" s="97" customFormat="1"/>
    <row r="474" s="97" customFormat="1"/>
    <row r="475" s="97" customFormat="1"/>
    <row r="476" s="97" customFormat="1"/>
    <row r="477" s="97" customFormat="1"/>
    <row r="478" s="97" customFormat="1"/>
    <row r="479" s="97" customFormat="1"/>
    <row r="480" s="97" customFormat="1"/>
    <row r="481" s="97" customFormat="1"/>
    <row r="482" s="97" customFormat="1"/>
    <row r="483" s="97" customFormat="1"/>
    <row r="484" s="97" customFormat="1"/>
    <row r="485" s="97" customFormat="1"/>
    <row r="486" s="97" customFormat="1"/>
    <row r="487" s="97" customFormat="1"/>
    <row r="488" s="97" customFormat="1"/>
    <row r="489" s="97" customFormat="1"/>
    <row r="490" s="97" customFormat="1"/>
    <row r="491" s="97" customFormat="1"/>
    <row r="492" s="97" customFormat="1"/>
    <row r="493" s="97" customFormat="1"/>
    <row r="494" s="97" customFormat="1"/>
    <row r="495" s="97" customFormat="1"/>
    <row r="496" s="97" customFormat="1"/>
    <row r="497" s="97" customFormat="1"/>
    <row r="498" s="97" customFormat="1"/>
    <row r="499" s="97" customFormat="1"/>
    <row r="500" s="97" customFormat="1"/>
    <row r="501" s="97" customFormat="1"/>
    <row r="502" s="97" customFormat="1"/>
    <row r="503" s="97" customFormat="1"/>
    <row r="504" s="97" customFormat="1"/>
    <row r="505" s="97" customFormat="1"/>
    <row r="506" s="97" customFormat="1"/>
    <row r="507" s="97" customFormat="1"/>
    <row r="508" s="97" customFormat="1"/>
    <row r="509" s="97" customFormat="1"/>
    <row r="510" s="97" customFormat="1"/>
    <row r="511" s="97" customFormat="1"/>
    <row r="512" s="97" customFormat="1"/>
    <row r="513" s="97" customFormat="1"/>
    <row r="514" s="97" customFormat="1"/>
    <row r="515" s="97" customFormat="1"/>
    <row r="516" s="97" customFormat="1"/>
    <row r="517" s="97" customFormat="1"/>
    <row r="518" s="97" customFormat="1"/>
    <row r="519" s="97" customFormat="1"/>
    <row r="520" s="97" customFormat="1"/>
    <row r="521" s="97" customFormat="1"/>
    <row r="522" s="97" customFormat="1"/>
    <row r="523" s="97" customFormat="1"/>
    <row r="524" s="97" customFormat="1"/>
    <row r="525" s="97" customFormat="1"/>
    <row r="526" s="97" customFormat="1"/>
    <row r="527" s="97" customFormat="1"/>
    <row r="528" s="97" customFormat="1"/>
    <row r="529" s="97" customFormat="1"/>
    <row r="530" s="97" customFormat="1"/>
    <row r="531" s="97" customFormat="1"/>
    <row r="532" s="97" customFormat="1"/>
    <row r="533" s="97" customFormat="1"/>
    <row r="534" s="97" customFormat="1"/>
    <row r="535" s="97" customFormat="1"/>
    <row r="536" s="97" customFormat="1"/>
    <row r="537" s="97" customFormat="1"/>
    <row r="538" s="97" customFormat="1"/>
    <row r="539" s="97" customFormat="1"/>
    <row r="540" s="97" customFormat="1"/>
    <row r="541" s="97" customFormat="1"/>
    <row r="542" s="97" customFormat="1"/>
    <row r="543" s="97" customFormat="1"/>
    <row r="544" s="97" customFormat="1"/>
    <row r="545" s="97" customFormat="1"/>
    <row r="546" s="97" customFormat="1"/>
    <row r="547" s="97" customFormat="1"/>
    <row r="548" s="97" customFormat="1"/>
    <row r="549" s="97" customFormat="1"/>
    <row r="550" s="97" customFormat="1"/>
    <row r="551" s="97" customFormat="1"/>
    <row r="552" s="97" customFormat="1"/>
    <row r="553" s="97" customFormat="1"/>
    <row r="554" s="97" customFormat="1"/>
    <row r="555" s="97" customFormat="1"/>
    <row r="556" s="97" customFormat="1"/>
    <row r="557" s="97" customFormat="1"/>
    <row r="558" s="97" customFormat="1"/>
    <row r="559" s="97" customFormat="1"/>
    <row r="560" s="97" customFormat="1"/>
    <row r="561" s="97" customFormat="1"/>
    <row r="562" s="97" customFormat="1"/>
    <row r="563" s="97" customFormat="1"/>
    <row r="564" s="97" customFormat="1"/>
    <row r="565" s="97" customFormat="1"/>
    <row r="566" s="97" customFormat="1"/>
    <row r="567" s="97" customFormat="1"/>
    <row r="568" s="97" customFormat="1"/>
  </sheetData>
  <sheetProtection sheet="1" objects="1" scenarios="1"/>
  <mergeCells count="3">
    <mergeCell ref="F2:I5"/>
    <mergeCell ref="G6:H6"/>
    <mergeCell ref="G8:H8"/>
  </mergeCells>
  <hyperlinks>
    <hyperlink ref="G6" location="'Lean Canvas'!A1" display="Back Lean Canvas" xr:uid="{B352CBD3-413F-4213-B93C-BEC6F930CAFA}"/>
    <hyperlink ref="G8" location="'Lean Canvas'!A1" display="Back Lean Canvas" xr:uid="{92C1286F-170D-48E2-BAA4-34CD8A14E4C6}"/>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BA8A6-421B-4AAA-AAF3-883F6B19C824}">
  <sheetPr codeName="Sheet9"/>
  <dimension ref="A1:AF282"/>
  <sheetViews>
    <sheetView topLeftCell="A3" zoomScaleNormal="100" zoomScaleSheetLayoutView="80" workbookViewId="0">
      <selection activeCell="A8" sqref="A8"/>
    </sheetView>
  </sheetViews>
  <sheetFormatPr defaultRowHeight="15.75"/>
  <cols>
    <col min="1" max="1" width="93.625" customWidth="1"/>
    <col min="2" max="32" width="9" style="97"/>
  </cols>
  <sheetData>
    <row r="1" spans="1:5" ht="48" customHeight="1">
      <c r="A1" s="151" t="str">
        <f>'Lean Canvas'!N8</f>
        <v>Unique Selling Proposition</v>
      </c>
      <c r="B1" s="524">
        <f>'Lean Canvas'!N10</f>
        <v>0</v>
      </c>
      <c r="C1" s="518"/>
      <c r="D1" s="518"/>
      <c r="E1" s="518"/>
    </row>
    <row r="2" spans="1:5">
      <c r="A2" s="100" t="s">
        <v>34</v>
      </c>
      <c r="B2" s="524"/>
      <c r="C2" s="518"/>
      <c r="D2" s="518"/>
      <c r="E2" s="518"/>
    </row>
    <row r="3" spans="1:5" ht="111.75" customHeight="1">
      <c r="A3" s="99"/>
      <c r="B3" s="524"/>
      <c r="C3" s="518"/>
      <c r="D3" s="518"/>
      <c r="E3" s="518"/>
    </row>
    <row r="4" spans="1:5">
      <c r="A4" s="100" t="s">
        <v>35</v>
      </c>
    </row>
    <row r="5" spans="1:5" ht="111" customHeight="1">
      <c r="A5" s="99"/>
      <c r="C5" s="522" t="s">
        <v>36</v>
      </c>
      <c r="D5" s="523"/>
    </row>
    <row r="6" spans="1:5">
      <c r="A6" s="100" t="s">
        <v>37</v>
      </c>
      <c r="C6" s="373"/>
    </row>
    <row r="7" spans="1:5" ht="111" customHeight="1">
      <c r="A7" s="99"/>
    </row>
    <row r="8" spans="1:5" s="457" customFormat="1" ht="47.25">
      <c r="A8" s="459" t="s">
        <v>38</v>
      </c>
    </row>
    <row r="9" spans="1:5" s="97" customFormat="1" ht="120.6" customHeight="1">
      <c r="A9" s="99"/>
    </row>
    <row r="10" spans="1:5" s="97" customFormat="1">
      <c r="A10" s="153" t="s">
        <v>39</v>
      </c>
    </row>
    <row r="11" spans="1:5" s="97" customFormat="1" ht="69" customHeight="1">
      <c r="A11" s="99"/>
    </row>
    <row r="12" spans="1:5" s="97" customFormat="1" ht="18.75">
      <c r="C12" s="520" t="s">
        <v>25</v>
      </c>
      <c r="D12" s="521"/>
    </row>
    <row r="13" spans="1:5" s="97" customFormat="1"/>
    <row r="14" spans="1:5" s="97" customFormat="1"/>
    <row r="15" spans="1:5" s="97" customFormat="1"/>
    <row r="16" spans="1:5" s="97" customFormat="1"/>
    <row r="17" s="97" customFormat="1"/>
    <row r="18" s="97" customFormat="1"/>
    <row r="19" s="97" customFormat="1"/>
    <row r="20" s="97" customFormat="1"/>
    <row r="21" s="97" customFormat="1"/>
    <row r="22" s="97" customFormat="1"/>
    <row r="23" s="97" customFormat="1"/>
    <row r="24" s="97" customFormat="1"/>
    <row r="25" s="97" customFormat="1"/>
    <row r="26" s="97" customFormat="1"/>
    <row r="27" s="97" customFormat="1"/>
    <row r="28" s="97" customFormat="1"/>
    <row r="29" s="97" customFormat="1"/>
    <row r="30" s="97" customFormat="1"/>
    <row r="31" s="97" customFormat="1"/>
    <row r="32" s="97" customFormat="1"/>
    <row r="33" s="97" customFormat="1"/>
    <row r="34" s="97" customFormat="1"/>
    <row r="35" s="97" customFormat="1"/>
    <row r="36" s="97" customFormat="1"/>
    <row r="37" s="97" customFormat="1"/>
    <row r="38" s="97" customFormat="1"/>
    <row r="39" s="97" customFormat="1"/>
    <row r="40" s="97" customFormat="1"/>
    <row r="41" s="97" customFormat="1"/>
    <row r="42" s="97" customFormat="1"/>
    <row r="43" s="97" customFormat="1"/>
    <row r="44" s="97" customFormat="1"/>
    <row r="45" s="97" customFormat="1"/>
    <row r="46" s="97" customFormat="1"/>
    <row r="47" s="97" customFormat="1"/>
    <row r="48" s="97" customFormat="1"/>
    <row r="49" s="97" customFormat="1"/>
    <row r="50" s="97" customFormat="1"/>
    <row r="51" s="97" customFormat="1"/>
    <row r="52" s="97" customFormat="1"/>
    <row r="53" s="97" customFormat="1"/>
    <row r="54" s="97" customFormat="1"/>
    <row r="55" s="97" customFormat="1"/>
    <row r="56" s="97" customFormat="1"/>
    <row r="57" s="97" customFormat="1"/>
    <row r="58" s="97" customFormat="1"/>
    <row r="59" s="97" customFormat="1"/>
    <row r="60" s="97" customFormat="1"/>
    <row r="61" s="97" customFormat="1"/>
    <row r="62" s="97" customFormat="1"/>
    <row r="63" s="97" customFormat="1"/>
    <row r="64" s="97" customFormat="1"/>
    <row r="65" s="97" customFormat="1"/>
    <row r="66" s="97" customFormat="1"/>
    <row r="67" s="97" customFormat="1"/>
    <row r="68" s="97" customFormat="1"/>
    <row r="69" s="97" customFormat="1"/>
    <row r="70" s="97" customFormat="1"/>
    <row r="71" s="97" customFormat="1"/>
    <row r="72" s="97" customFormat="1"/>
    <row r="73" s="97" customFormat="1"/>
    <row r="74" s="97" customFormat="1"/>
    <row r="75" s="97" customFormat="1"/>
    <row r="76" s="97" customFormat="1"/>
    <row r="77" s="97" customFormat="1"/>
    <row r="78" s="97" customFormat="1"/>
    <row r="79" s="97" customFormat="1"/>
    <row r="80" s="97" customFormat="1"/>
    <row r="81" s="97" customFormat="1"/>
    <row r="82" s="97" customFormat="1"/>
    <row r="83" s="97" customFormat="1"/>
    <row r="84" s="97" customFormat="1"/>
    <row r="85" s="97" customFormat="1"/>
    <row r="86" s="97" customFormat="1"/>
    <row r="87" s="97" customFormat="1"/>
    <row r="88" s="97" customFormat="1"/>
    <row r="89" s="97" customFormat="1"/>
    <row r="90" s="97" customFormat="1"/>
    <row r="91" s="97" customFormat="1"/>
    <row r="92" s="97" customFormat="1"/>
    <row r="93" s="97" customFormat="1"/>
    <row r="94" s="97" customFormat="1"/>
    <row r="95" s="97" customFormat="1"/>
    <row r="96" s="97" customFormat="1"/>
    <row r="97" s="97" customFormat="1"/>
    <row r="98" s="97" customFormat="1"/>
    <row r="99" s="97" customFormat="1"/>
    <row r="100" s="97" customFormat="1"/>
    <row r="101" s="97" customFormat="1"/>
    <row r="102" s="97" customFormat="1"/>
    <row r="103" s="97" customFormat="1"/>
    <row r="104" s="97" customFormat="1"/>
    <row r="105" s="97" customFormat="1"/>
    <row r="106" s="97" customFormat="1"/>
    <row r="107" s="97" customFormat="1"/>
    <row r="108" s="97" customFormat="1"/>
    <row r="109" s="97" customFormat="1"/>
    <row r="110" s="97" customFormat="1"/>
    <row r="111" s="97" customFormat="1"/>
    <row r="112" s="97" customFormat="1"/>
    <row r="113" s="97" customFormat="1"/>
    <row r="114" s="97" customFormat="1"/>
    <row r="115" s="97" customFormat="1"/>
    <row r="116" s="97" customFormat="1"/>
    <row r="117" s="97" customFormat="1"/>
    <row r="118" s="97" customFormat="1"/>
    <row r="119" s="97" customFormat="1"/>
    <row r="120" s="97" customFormat="1"/>
    <row r="121" s="97" customFormat="1"/>
    <row r="122" s="97" customFormat="1"/>
    <row r="123" s="97" customFormat="1"/>
    <row r="124" s="97" customFormat="1"/>
    <row r="125" s="97" customFormat="1"/>
    <row r="126" s="97" customFormat="1"/>
    <row r="127" s="97" customFormat="1"/>
    <row r="128" s="97" customFormat="1"/>
    <row r="129" s="97" customFormat="1"/>
    <row r="130" s="97" customFormat="1"/>
    <row r="131" s="97" customFormat="1"/>
    <row r="132" s="97" customFormat="1"/>
    <row r="133" s="97" customFormat="1"/>
    <row r="134" s="97" customFormat="1"/>
    <row r="135" s="97" customFormat="1"/>
    <row r="136" s="97" customFormat="1"/>
    <row r="137" s="97" customFormat="1"/>
    <row r="138" s="97" customFormat="1"/>
    <row r="139" s="97" customFormat="1"/>
    <row r="140" s="97" customFormat="1"/>
    <row r="141" s="97" customFormat="1"/>
    <row r="142" s="97" customFormat="1"/>
    <row r="143" s="97" customFormat="1"/>
    <row r="144" s="97" customFormat="1"/>
    <row r="145" s="97" customFormat="1"/>
    <row r="146" s="97" customFormat="1"/>
    <row r="147" s="97" customFormat="1"/>
    <row r="148" s="97" customFormat="1"/>
    <row r="149" s="97" customFormat="1"/>
    <row r="150" s="97" customFormat="1"/>
    <row r="151" s="97" customFormat="1"/>
    <row r="152" s="97" customFormat="1"/>
    <row r="153" s="97" customFormat="1"/>
    <row r="154" s="97" customFormat="1"/>
    <row r="155" s="97" customFormat="1"/>
    <row r="156" s="97" customFormat="1"/>
    <row r="157" s="97" customFormat="1"/>
    <row r="158" s="97" customFormat="1"/>
    <row r="159" s="97" customFormat="1"/>
    <row r="160" s="97" customFormat="1"/>
    <row r="161" s="97" customFormat="1"/>
    <row r="162" s="97" customFormat="1"/>
    <row r="163" s="97" customFormat="1"/>
    <row r="164" s="97" customFormat="1"/>
    <row r="165" s="97" customFormat="1"/>
    <row r="166" s="97" customFormat="1"/>
    <row r="167" s="97" customFormat="1"/>
    <row r="168" s="97" customFormat="1"/>
    <row r="169" s="97" customFormat="1"/>
    <row r="170" s="97" customFormat="1"/>
    <row r="171" s="97" customFormat="1"/>
    <row r="172" s="97" customFormat="1"/>
    <row r="173" s="97" customFormat="1"/>
    <row r="174" s="97" customFormat="1"/>
    <row r="175" s="97" customFormat="1"/>
    <row r="176" s="97" customFormat="1"/>
    <row r="177" s="97" customFormat="1"/>
    <row r="178" s="97" customFormat="1"/>
    <row r="179" s="97" customFormat="1"/>
    <row r="180" s="97" customFormat="1"/>
    <row r="181" s="97" customFormat="1"/>
    <row r="182" s="97" customFormat="1"/>
    <row r="183" s="97" customFormat="1"/>
    <row r="184" s="97" customFormat="1"/>
    <row r="185" s="97" customFormat="1"/>
    <row r="186" s="97" customFormat="1"/>
    <row r="187" s="97" customFormat="1"/>
    <row r="188" s="97" customFormat="1"/>
    <row r="189" s="97" customFormat="1"/>
    <row r="190" s="97" customFormat="1"/>
    <row r="191" s="97" customFormat="1"/>
    <row r="192" s="97" customFormat="1"/>
    <row r="193" s="97" customFormat="1"/>
    <row r="194" s="97" customFormat="1"/>
    <row r="195" s="97" customFormat="1"/>
    <row r="196" s="97" customFormat="1"/>
    <row r="197" s="97" customFormat="1"/>
    <row r="198" s="97" customFormat="1"/>
    <row r="199" s="97" customFormat="1"/>
    <row r="200" s="97" customFormat="1"/>
    <row r="201" s="97" customFormat="1"/>
    <row r="202" s="97" customFormat="1"/>
    <row r="203" s="97" customFormat="1"/>
    <row r="204" s="97" customFormat="1"/>
    <row r="205" s="97" customFormat="1"/>
    <row r="206" s="97" customFormat="1"/>
    <row r="207" s="97" customFormat="1"/>
    <row r="208" s="97" customFormat="1"/>
    <row r="209" s="97" customFormat="1"/>
    <row r="210" s="97" customFormat="1"/>
    <row r="211" s="97" customFormat="1"/>
    <row r="212" s="97" customFormat="1"/>
    <row r="213" s="97" customFormat="1"/>
    <row r="214" s="97" customFormat="1"/>
    <row r="215" s="97" customFormat="1"/>
    <row r="216" s="97" customFormat="1"/>
    <row r="217" s="97" customFormat="1"/>
    <row r="218" s="97" customFormat="1"/>
    <row r="219" s="97" customFormat="1"/>
    <row r="220" s="97" customFormat="1"/>
    <row r="221" s="97" customFormat="1"/>
    <row r="222" s="97" customFormat="1"/>
    <row r="223" s="97" customFormat="1"/>
    <row r="224" s="97" customFormat="1"/>
    <row r="225" s="97" customFormat="1"/>
    <row r="226" s="97" customFormat="1"/>
    <row r="227" s="97" customFormat="1"/>
    <row r="228" s="97" customFormat="1"/>
    <row r="229" s="97" customFormat="1"/>
    <row r="230" s="97" customFormat="1"/>
    <row r="231" s="97" customFormat="1"/>
    <row r="232" s="97" customFormat="1"/>
    <row r="233" s="97" customFormat="1"/>
    <row r="234" s="97" customFormat="1"/>
    <row r="235" s="97" customFormat="1"/>
    <row r="236" s="97" customFormat="1"/>
    <row r="237" s="97" customFormat="1"/>
    <row r="238" s="97" customFormat="1"/>
    <row r="239" s="97" customFormat="1"/>
    <row r="240" s="97" customFormat="1"/>
    <row r="241" s="97" customFormat="1"/>
    <row r="242" s="97" customFormat="1"/>
    <row r="243" s="97" customFormat="1"/>
    <row r="244" s="97" customFormat="1"/>
    <row r="245" s="97" customFormat="1"/>
    <row r="246" s="97" customFormat="1"/>
    <row r="247" s="97" customFormat="1"/>
    <row r="248" s="97" customFormat="1"/>
    <row r="249" s="97" customFormat="1"/>
    <row r="250" s="97" customFormat="1"/>
    <row r="251" s="97" customFormat="1"/>
    <row r="252" s="97" customFormat="1"/>
    <row r="253" s="97" customFormat="1"/>
    <row r="254" s="97" customFormat="1"/>
    <row r="255" s="97" customFormat="1"/>
    <row r="256" s="97" customFormat="1"/>
    <row r="257" s="97" customFormat="1"/>
    <row r="258" s="97" customFormat="1"/>
    <row r="259" s="97" customFormat="1"/>
    <row r="260" s="97" customFormat="1"/>
    <row r="261" s="97" customFormat="1"/>
    <row r="262" s="97" customFormat="1"/>
    <row r="263" s="97" customFormat="1"/>
    <row r="264" s="97" customFormat="1"/>
    <row r="265" s="97" customFormat="1"/>
    <row r="266" s="97" customFormat="1"/>
    <row r="267" s="97" customFormat="1"/>
    <row r="268" s="97" customFormat="1"/>
    <row r="269" s="97" customFormat="1"/>
    <row r="270" s="97" customFormat="1"/>
    <row r="271" s="97" customFormat="1"/>
    <row r="272" s="97" customFormat="1"/>
    <row r="273" s="97" customFormat="1"/>
    <row r="274" s="97" customFormat="1"/>
    <row r="275" s="97" customFormat="1"/>
    <row r="276" s="97" customFormat="1"/>
    <row r="277" s="97" customFormat="1"/>
    <row r="278" s="97" customFormat="1"/>
    <row r="279" s="97" customFormat="1"/>
    <row r="280" s="97" customFormat="1"/>
    <row r="281" s="97" customFormat="1"/>
    <row r="282" s="97" customFormat="1"/>
  </sheetData>
  <sheetProtection sheet="1" objects="1" scenarios="1"/>
  <mergeCells count="3">
    <mergeCell ref="C5:D5"/>
    <mergeCell ref="B1:E3"/>
    <mergeCell ref="C12:D12"/>
  </mergeCells>
  <hyperlinks>
    <hyperlink ref="C5" location="'USP_Brainstorm Cards'!A1" display="GoTo Brainstorm Cards if you need inspirations" xr:uid="{E80D39D3-E6F2-4121-8B49-2A8FFE691BCA}"/>
    <hyperlink ref="C12" location="'Lean Canvas'!A1" display="Back Lean Canvas" xr:uid="{31CC5C76-2C5B-4142-AB7D-40F7D1368F37}"/>
  </hyperlinks>
  <pageMargins left="0.7" right="0.7" top="0.75" bottom="0.75" header="0.3" footer="0.3"/>
  <pageSetup scale="36"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E9DAE-332A-40BF-805A-81758A00CE22}">
  <sheetPr codeName="Sheet8"/>
  <dimension ref="A1:V39"/>
  <sheetViews>
    <sheetView zoomScale="90" zoomScaleNormal="90" workbookViewId="0">
      <selection activeCell="E32" sqref="E32:F32"/>
    </sheetView>
  </sheetViews>
  <sheetFormatPr defaultColWidth="9" defaultRowHeight="15.75"/>
  <cols>
    <col min="1" max="3" width="9" style="97" customWidth="1"/>
    <col min="4" max="16384" width="9" style="97"/>
  </cols>
  <sheetData>
    <row r="1" spans="1:22" ht="21">
      <c r="A1" s="97" t="s">
        <v>40</v>
      </c>
    </row>
    <row r="2" spans="1:22">
      <c r="A2" s="97" t="s">
        <v>41</v>
      </c>
    </row>
    <row r="3" spans="1:22">
      <c r="A3" s="97" t="s">
        <v>42</v>
      </c>
    </row>
    <row r="4" spans="1:22" ht="7.5" customHeight="1"/>
    <row r="5" spans="1:22" ht="18.75">
      <c r="B5" s="152" t="s">
        <v>43</v>
      </c>
      <c r="I5" s="152" t="s">
        <v>44</v>
      </c>
    </row>
    <row r="6" spans="1:22">
      <c r="I6" s="525" t="s">
        <v>45</v>
      </c>
      <c r="J6" s="526"/>
      <c r="K6" s="526"/>
      <c r="L6" s="526"/>
      <c r="M6" s="526"/>
      <c r="N6" s="526"/>
      <c r="O6" s="526"/>
      <c r="P6" s="526"/>
      <c r="Q6" s="526"/>
      <c r="R6" s="526"/>
      <c r="S6" s="526"/>
      <c r="T6" s="526"/>
      <c r="U6" s="526"/>
      <c r="V6" s="527"/>
    </row>
    <row r="7" spans="1:22">
      <c r="I7" s="528"/>
      <c r="J7" s="529"/>
      <c r="K7" s="529"/>
      <c r="L7" s="529"/>
      <c r="M7" s="529"/>
      <c r="N7" s="529"/>
      <c r="O7" s="529"/>
      <c r="P7" s="529"/>
      <c r="Q7" s="529"/>
      <c r="R7" s="529"/>
      <c r="S7" s="529"/>
      <c r="T7" s="529"/>
      <c r="U7" s="529"/>
      <c r="V7" s="530"/>
    </row>
    <row r="8" spans="1:22">
      <c r="I8" s="528"/>
      <c r="J8" s="529"/>
      <c r="K8" s="529"/>
      <c r="L8" s="529"/>
      <c r="M8" s="529"/>
      <c r="N8" s="529"/>
      <c r="O8" s="529"/>
      <c r="P8" s="529"/>
      <c r="Q8" s="529"/>
      <c r="R8" s="529"/>
      <c r="S8" s="529"/>
      <c r="T8" s="529"/>
      <c r="U8" s="529"/>
      <c r="V8" s="530"/>
    </row>
    <row r="9" spans="1:22">
      <c r="I9" s="528"/>
      <c r="J9" s="529"/>
      <c r="K9" s="529"/>
      <c r="L9" s="529"/>
      <c r="M9" s="529"/>
      <c r="N9" s="529"/>
      <c r="O9" s="529"/>
      <c r="P9" s="529"/>
      <c r="Q9" s="529"/>
      <c r="R9" s="529"/>
      <c r="S9" s="529"/>
      <c r="T9" s="529"/>
      <c r="U9" s="529"/>
      <c r="V9" s="530"/>
    </row>
    <row r="10" spans="1:22">
      <c r="I10" s="528"/>
      <c r="J10" s="529"/>
      <c r="K10" s="529"/>
      <c r="L10" s="529"/>
      <c r="M10" s="529"/>
      <c r="N10" s="529"/>
      <c r="O10" s="529"/>
      <c r="P10" s="529"/>
      <c r="Q10" s="529"/>
      <c r="R10" s="529"/>
      <c r="S10" s="529"/>
      <c r="T10" s="529"/>
      <c r="U10" s="529"/>
      <c r="V10" s="530"/>
    </row>
    <row r="11" spans="1:22">
      <c r="I11" s="528"/>
      <c r="J11" s="529"/>
      <c r="K11" s="529"/>
      <c r="L11" s="529"/>
      <c r="M11" s="529"/>
      <c r="N11" s="529"/>
      <c r="O11" s="529"/>
      <c r="P11" s="529"/>
      <c r="Q11" s="529"/>
      <c r="R11" s="529"/>
      <c r="S11" s="529"/>
      <c r="T11" s="529"/>
      <c r="U11" s="529"/>
      <c r="V11" s="530"/>
    </row>
    <row r="12" spans="1:22">
      <c r="I12" s="528"/>
      <c r="J12" s="529"/>
      <c r="K12" s="529"/>
      <c r="L12" s="529"/>
      <c r="M12" s="529"/>
      <c r="N12" s="529"/>
      <c r="O12" s="529"/>
      <c r="P12" s="529"/>
      <c r="Q12" s="529"/>
      <c r="R12" s="529"/>
      <c r="S12" s="529"/>
      <c r="T12" s="529"/>
      <c r="U12" s="529"/>
      <c r="V12" s="530"/>
    </row>
    <row r="13" spans="1:22">
      <c r="I13" s="528"/>
      <c r="J13" s="529"/>
      <c r="K13" s="529"/>
      <c r="L13" s="529"/>
      <c r="M13" s="529"/>
      <c r="N13" s="529"/>
      <c r="O13" s="529"/>
      <c r="P13" s="529"/>
      <c r="Q13" s="529"/>
      <c r="R13" s="529"/>
      <c r="S13" s="529"/>
      <c r="T13" s="529"/>
      <c r="U13" s="529"/>
      <c r="V13" s="530"/>
    </row>
    <row r="14" spans="1:22">
      <c r="I14" s="528"/>
      <c r="J14" s="529"/>
      <c r="K14" s="529"/>
      <c r="L14" s="529"/>
      <c r="M14" s="529"/>
      <c r="N14" s="529"/>
      <c r="O14" s="529"/>
      <c r="P14" s="529"/>
      <c r="Q14" s="529"/>
      <c r="R14" s="529"/>
      <c r="S14" s="529"/>
      <c r="T14" s="529"/>
      <c r="U14" s="529"/>
      <c r="V14" s="530"/>
    </row>
    <row r="15" spans="1:22">
      <c r="I15" s="528"/>
      <c r="J15" s="529"/>
      <c r="K15" s="529"/>
      <c r="L15" s="529"/>
      <c r="M15" s="529"/>
      <c r="N15" s="529"/>
      <c r="O15" s="529"/>
      <c r="P15" s="529"/>
      <c r="Q15" s="529"/>
      <c r="R15" s="529"/>
      <c r="S15" s="529"/>
      <c r="T15" s="529"/>
      <c r="U15" s="529"/>
      <c r="V15" s="530"/>
    </row>
    <row r="16" spans="1:22">
      <c r="I16" s="528"/>
      <c r="J16" s="529"/>
      <c r="K16" s="529"/>
      <c r="L16" s="529"/>
      <c r="M16" s="529"/>
      <c r="N16" s="529"/>
      <c r="O16" s="529"/>
      <c r="P16" s="529"/>
      <c r="Q16" s="529"/>
      <c r="R16" s="529"/>
      <c r="S16" s="529"/>
      <c r="T16" s="529"/>
      <c r="U16" s="529"/>
      <c r="V16" s="530"/>
    </row>
    <row r="17" spans="5:22">
      <c r="I17" s="528"/>
      <c r="J17" s="529"/>
      <c r="K17" s="529"/>
      <c r="L17" s="529"/>
      <c r="M17" s="529"/>
      <c r="N17" s="529"/>
      <c r="O17" s="529"/>
      <c r="P17" s="529"/>
      <c r="Q17" s="529"/>
      <c r="R17" s="529"/>
      <c r="S17" s="529"/>
      <c r="T17" s="529"/>
      <c r="U17" s="529"/>
      <c r="V17" s="530"/>
    </row>
    <row r="18" spans="5:22">
      <c r="I18" s="528"/>
      <c r="J18" s="529"/>
      <c r="K18" s="529"/>
      <c r="L18" s="529"/>
      <c r="M18" s="529"/>
      <c r="N18" s="529"/>
      <c r="O18" s="529"/>
      <c r="P18" s="529"/>
      <c r="Q18" s="529"/>
      <c r="R18" s="529"/>
      <c r="S18" s="529"/>
      <c r="T18" s="529"/>
      <c r="U18" s="529"/>
      <c r="V18" s="530"/>
    </row>
    <row r="19" spans="5:22">
      <c r="I19" s="528"/>
      <c r="J19" s="529"/>
      <c r="K19" s="529"/>
      <c r="L19" s="529"/>
      <c r="M19" s="529"/>
      <c r="N19" s="529"/>
      <c r="O19" s="529"/>
      <c r="P19" s="529"/>
      <c r="Q19" s="529"/>
      <c r="R19" s="529"/>
      <c r="S19" s="529"/>
      <c r="T19" s="529"/>
      <c r="U19" s="529"/>
      <c r="V19" s="530"/>
    </row>
    <row r="20" spans="5:22">
      <c r="I20" s="528"/>
      <c r="J20" s="529"/>
      <c r="K20" s="529"/>
      <c r="L20" s="529"/>
      <c r="M20" s="529"/>
      <c r="N20" s="529"/>
      <c r="O20" s="529"/>
      <c r="P20" s="529"/>
      <c r="Q20" s="529"/>
      <c r="R20" s="529"/>
      <c r="S20" s="529"/>
      <c r="T20" s="529"/>
      <c r="U20" s="529"/>
      <c r="V20" s="530"/>
    </row>
    <row r="21" spans="5:22">
      <c r="I21" s="528"/>
      <c r="J21" s="529"/>
      <c r="K21" s="529"/>
      <c r="L21" s="529"/>
      <c r="M21" s="529"/>
      <c r="N21" s="529"/>
      <c r="O21" s="529"/>
      <c r="P21" s="529"/>
      <c r="Q21" s="529"/>
      <c r="R21" s="529"/>
      <c r="S21" s="529"/>
      <c r="T21" s="529"/>
      <c r="U21" s="529"/>
      <c r="V21" s="530"/>
    </row>
    <row r="22" spans="5:22">
      <c r="I22" s="528"/>
      <c r="J22" s="529"/>
      <c r="K22" s="529"/>
      <c r="L22" s="529"/>
      <c r="M22" s="529"/>
      <c r="N22" s="529"/>
      <c r="O22" s="529"/>
      <c r="P22" s="529"/>
      <c r="Q22" s="529"/>
      <c r="R22" s="529"/>
      <c r="S22" s="529"/>
      <c r="T22" s="529"/>
      <c r="U22" s="529"/>
      <c r="V22" s="530"/>
    </row>
    <row r="23" spans="5:22">
      <c r="I23" s="528"/>
      <c r="J23" s="529"/>
      <c r="K23" s="529"/>
      <c r="L23" s="529"/>
      <c r="M23" s="529"/>
      <c r="N23" s="529"/>
      <c r="O23" s="529"/>
      <c r="P23" s="529"/>
      <c r="Q23" s="529"/>
      <c r="R23" s="529"/>
      <c r="S23" s="529"/>
      <c r="T23" s="529"/>
      <c r="U23" s="529"/>
      <c r="V23" s="530"/>
    </row>
    <row r="24" spans="5:22">
      <c r="I24" s="528"/>
      <c r="J24" s="529"/>
      <c r="K24" s="529"/>
      <c r="L24" s="529"/>
      <c r="M24" s="529"/>
      <c r="N24" s="529"/>
      <c r="O24" s="529"/>
      <c r="P24" s="529"/>
      <c r="Q24" s="529"/>
      <c r="R24" s="529"/>
      <c r="S24" s="529"/>
      <c r="T24" s="529"/>
      <c r="U24" s="529"/>
      <c r="V24" s="530"/>
    </row>
    <row r="25" spans="5:22">
      <c r="I25" s="528"/>
      <c r="J25" s="529"/>
      <c r="K25" s="529"/>
      <c r="L25" s="529"/>
      <c r="M25" s="529"/>
      <c r="N25" s="529"/>
      <c r="O25" s="529"/>
      <c r="P25" s="529"/>
      <c r="Q25" s="529"/>
      <c r="R25" s="529"/>
      <c r="S25" s="529"/>
      <c r="T25" s="529"/>
      <c r="U25" s="529"/>
      <c r="V25" s="530"/>
    </row>
    <row r="26" spans="5:22">
      <c r="I26" s="528"/>
      <c r="J26" s="529"/>
      <c r="K26" s="529"/>
      <c r="L26" s="529"/>
      <c r="M26" s="529"/>
      <c r="N26" s="529"/>
      <c r="O26" s="529"/>
      <c r="P26" s="529"/>
      <c r="Q26" s="529"/>
      <c r="R26" s="529"/>
      <c r="S26" s="529"/>
      <c r="T26" s="529"/>
      <c r="U26" s="529"/>
      <c r="V26" s="530"/>
    </row>
    <row r="27" spans="5:22">
      <c r="I27" s="528"/>
      <c r="J27" s="529"/>
      <c r="K27" s="529"/>
      <c r="L27" s="529"/>
      <c r="M27" s="529"/>
      <c r="N27" s="529"/>
      <c r="O27" s="529"/>
      <c r="P27" s="529"/>
      <c r="Q27" s="529"/>
      <c r="R27" s="529"/>
      <c r="S27" s="529"/>
      <c r="T27" s="529"/>
      <c r="U27" s="529"/>
      <c r="V27" s="530"/>
    </row>
    <row r="28" spans="5:22">
      <c r="I28" s="528"/>
      <c r="J28" s="529"/>
      <c r="K28" s="529"/>
      <c r="L28" s="529"/>
      <c r="M28" s="529"/>
      <c r="N28" s="529"/>
      <c r="O28" s="529"/>
      <c r="P28" s="529"/>
      <c r="Q28" s="529"/>
      <c r="R28" s="529"/>
      <c r="S28" s="529"/>
      <c r="T28" s="529"/>
      <c r="U28" s="529"/>
      <c r="V28" s="530"/>
    </row>
    <row r="29" spans="5:22">
      <c r="I29" s="528"/>
      <c r="J29" s="529"/>
      <c r="K29" s="529"/>
      <c r="L29" s="529"/>
      <c r="M29" s="529"/>
      <c r="N29" s="529"/>
      <c r="O29" s="529"/>
      <c r="P29" s="529"/>
      <c r="Q29" s="529"/>
      <c r="R29" s="529"/>
      <c r="S29" s="529"/>
      <c r="T29" s="529"/>
      <c r="U29" s="529"/>
      <c r="V29" s="530"/>
    </row>
    <row r="30" spans="5:22">
      <c r="I30" s="528"/>
      <c r="J30" s="529"/>
      <c r="K30" s="529"/>
      <c r="L30" s="529"/>
      <c r="M30" s="529"/>
      <c r="N30" s="529"/>
      <c r="O30" s="529"/>
      <c r="P30" s="529"/>
      <c r="Q30" s="529"/>
      <c r="R30" s="529"/>
      <c r="S30" s="529"/>
      <c r="T30" s="529"/>
      <c r="U30" s="529"/>
      <c r="V30" s="530"/>
    </row>
    <row r="31" spans="5:22">
      <c r="I31" s="528"/>
      <c r="J31" s="529"/>
      <c r="K31" s="529"/>
      <c r="L31" s="529"/>
      <c r="M31" s="529"/>
      <c r="N31" s="529"/>
      <c r="O31" s="529"/>
      <c r="P31" s="529"/>
      <c r="Q31" s="529"/>
      <c r="R31" s="529"/>
      <c r="S31" s="529"/>
      <c r="T31" s="529"/>
      <c r="U31" s="529"/>
      <c r="V31" s="530"/>
    </row>
    <row r="32" spans="5:22">
      <c r="E32" s="534" t="s">
        <v>46</v>
      </c>
      <c r="F32" s="535"/>
      <c r="I32" s="528"/>
      <c r="J32" s="529"/>
      <c r="K32" s="529"/>
      <c r="L32" s="529"/>
      <c r="M32" s="529"/>
      <c r="N32" s="529"/>
      <c r="O32" s="529"/>
      <c r="P32" s="529"/>
      <c r="Q32" s="529"/>
      <c r="R32" s="529"/>
      <c r="S32" s="529"/>
      <c r="T32" s="529"/>
      <c r="U32" s="529"/>
      <c r="V32" s="530"/>
    </row>
    <row r="33" spans="5:22">
      <c r="I33" s="528"/>
      <c r="J33" s="529"/>
      <c r="K33" s="529"/>
      <c r="L33" s="529"/>
      <c r="M33" s="529"/>
      <c r="N33" s="529"/>
      <c r="O33" s="529"/>
      <c r="P33" s="529"/>
      <c r="Q33" s="529"/>
      <c r="R33" s="529"/>
      <c r="S33" s="529"/>
      <c r="T33" s="529"/>
      <c r="U33" s="529"/>
      <c r="V33" s="530"/>
    </row>
    <row r="34" spans="5:22">
      <c r="I34" s="528"/>
      <c r="J34" s="529"/>
      <c r="K34" s="529"/>
      <c r="L34" s="529"/>
      <c r="M34" s="529"/>
      <c r="N34" s="529"/>
      <c r="O34" s="529"/>
      <c r="P34" s="529"/>
      <c r="Q34" s="529"/>
      <c r="R34" s="529"/>
      <c r="S34" s="529"/>
      <c r="T34" s="529"/>
      <c r="U34" s="529"/>
      <c r="V34" s="530"/>
    </row>
    <row r="35" spans="5:22" ht="18.75">
      <c r="E35" s="376"/>
      <c r="I35" s="528"/>
      <c r="J35" s="529"/>
      <c r="K35" s="529"/>
      <c r="L35" s="529"/>
      <c r="M35" s="529"/>
      <c r="N35" s="529"/>
      <c r="O35" s="529"/>
      <c r="P35" s="529"/>
      <c r="Q35" s="529"/>
      <c r="R35" s="529"/>
      <c r="S35" s="529"/>
      <c r="T35" s="529"/>
      <c r="U35" s="529"/>
      <c r="V35" s="530"/>
    </row>
    <row r="36" spans="5:22">
      <c r="I36" s="528"/>
      <c r="J36" s="529"/>
      <c r="K36" s="529"/>
      <c r="L36" s="529"/>
      <c r="M36" s="529"/>
      <c r="N36" s="529"/>
      <c r="O36" s="529"/>
      <c r="P36" s="529"/>
      <c r="Q36" s="529"/>
      <c r="R36" s="529"/>
      <c r="S36" s="529"/>
      <c r="T36" s="529"/>
      <c r="U36" s="529"/>
      <c r="V36" s="530"/>
    </row>
    <row r="37" spans="5:22">
      <c r="I37" s="528"/>
      <c r="J37" s="529"/>
      <c r="K37" s="529"/>
      <c r="L37" s="529"/>
      <c r="M37" s="529"/>
      <c r="N37" s="529"/>
      <c r="O37" s="529"/>
      <c r="P37" s="529"/>
      <c r="Q37" s="529"/>
      <c r="R37" s="529"/>
      <c r="S37" s="529"/>
      <c r="T37" s="529"/>
      <c r="U37" s="529"/>
      <c r="V37" s="530"/>
    </row>
    <row r="38" spans="5:22">
      <c r="I38" s="528"/>
      <c r="J38" s="529"/>
      <c r="K38" s="529"/>
      <c r="L38" s="529"/>
      <c r="M38" s="529"/>
      <c r="N38" s="529"/>
      <c r="O38" s="529"/>
      <c r="P38" s="529"/>
      <c r="Q38" s="529"/>
      <c r="R38" s="529"/>
      <c r="S38" s="529"/>
      <c r="T38" s="529"/>
      <c r="U38" s="529"/>
      <c r="V38" s="530"/>
    </row>
    <row r="39" spans="5:22" ht="189.75" customHeight="1">
      <c r="I39" s="531"/>
      <c r="J39" s="532"/>
      <c r="K39" s="532"/>
      <c r="L39" s="532"/>
      <c r="M39" s="532"/>
      <c r="N39" s="532"/>
      <c r="O39" s="532"/>
      <c r="P39" s="532"/>
      <c r="Q39" s="532"/>
      <c r="R39" s="532"/>
      <c r="S39" s="532"/>
      <c r="T39" s="532"/>
      <c r="U39" s="532"/>
      <c r="V39" s="533"/>
    </row>
  </sheetData>
  <sheetProtection sheet="1" objects="1" scenarios="1"/>
  <mergeCells count="2">
    <mergeCell ref="I6:V39"/>
    <mergeCell ref="E32:F32"/>
  </mergeCells>
  <hyperlinks>
    <hyperlink ref="E32" location="USP!A1" display="Back USP" xr:uid="{DBE9C0EC-506B-48D8-AFA7-CD3326FBE1E9}"/>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15B5-00B7-483C-B6C7-786F47B65376}">
  <sheetPr codeName="Sheet7">
    <pageSetUpPr fitToPage="1"/>
  </sheetPr>
  <dimension ref="B2:Y73"/>
  <sheetViews>
    <sheetView topLeftCell="A43" zoomScale="70" zoomScaleNormal="70" workbookViewId="0">
      <selection activeCell="R4" sqref="R4:S5"/>
    </sheetView>
  </sheetViews>
  <sheetFormatPr defaultColWidth="10.875" defaultRowHeight="15"/>
  <cols>
    <col min="1" max="21" width="10.875" style="1" customWidth="1"/>
    <col min="22" max="23" width="10.875" style="1"/>
    <col min="24" max="24" width="12" style="1" customWidth="1"/>
    <col min="25" max="16384" width="10.875" style="1"/>
  </cols>
  <sheetData>
    <row r="2" spans="2:25" ht="15" customHeight="1"/>
    <row r="3" spans="2:25" ht="15.75">
      <c r="B3" s="729" t="s">
        <v>47</v>
      </c>
      <c r="C3" s="729"/>
      <c r="D3" s="729"/>
      <c r="E3" s="729"/>
      <c r="F3" s="729"/>
      <c r="G3" s="729"/>
      <c r="H3" s="729"/>
      <c r="J3" s="514" t="s">
        <v>1</v>
      </c>
      <c r="K3" s="514"/>
      <c r="L3" s="599"/>
      <c r="M3" s="2"/>
      <c r="N3" s="514" t="s">
        <v>2</v>
      </c>
      <c r="O3" s="514"/>
      <c r="P3" s="514"/>
      <c r="Q3" s="2"/>
      <c r="R3" s="514" t="s">
        <v>3</v>
      </c>
      <c r="S3" s="514"/>
      <c r="T3" s="2"/>
      <c r="W3" s="514" t="s">
        <v>48</v>
      </c>
      <c r="X3" s="514"/>
    </row>
    <row r="4" spans="2:25" ht="15" customHeight="1">
      <c r="B4" s="729"/>
      <c r="C4" s="729"/>
      <c r="D4" s="729"/>
      <c r="E4" s="729"/>
      <c r="F4" s="729"/>
      <c r="G4" s="729"/>
      <c r="H4" s="729"/>
      <c r="J4" s="598" t="str">
        <f>'Lean Canvas'!J4</f>
        <v xml:space="preserve"> </v>
      </c>
      <c r="K4" s="598"/>
      <c r="L4" s="599"/>
      <c r="N4" s="598">
        <f>'Lean Canvas'!N4</f>
        <v>0</v>
      </c>
      <c r="O4" s="598"/>
      <c r="P4" s="598"/>
      <c r="R4" s="600" t="str">
        <f>IF('Lean Canvas'!R4&lt;&gt;"",'Lean Canvas'!R4,"")</f>
        <v/>
      </c>
      <c r="S4" s="600"/>
      <c r="W4" s="601" t="s">
        <v>7</v>
      </c>
      <c r="X4" s="602"/>
    </row>
    <row r="5" spans="2:25" ht="15" customHeight="1">
      <c r="B5" s="729"/>
      <c r="C5" s="729"/>
      <c r="D5" s="729"/>
      <c r="E5" s="729"/>
      <c r="F5" s="729"/>
      <c r="G5" s="729"/>
      <c r="H5" s="729"/>
      <c r="J5" s="598"/>
      <c r="K5" s="598"/>
      <c r="L5" s="599"/>
      <c r="N5" s="598"/>
      <c r="O5" s="598"/>
      <c r="P5" s="598"/>
      <c r="R5" s="600"/>
      <c r="S5" s="600"/>
      <c r="W5" s="580"/>
      <c r="X5" s="581"/>
    </row>
    <row r="6" spans="2:25">
      <c r="J6" s="730"/>
      <c r="K6" s="731"/>
      <c r="L6" s="731"/>
      <c r="M6" s="731"/>
    </row>
    <row r="7" spans="2:25">
      <c r="J7" s="731"/>
      <c r="K7" s="731"/>
      <c r="L7" s="731"/>
      <c r="M7" s="731"/>
    </row>
    <row r="8" spans="2:25" ht="15" customHeight="1">
      <c r="B8" s="582" t="s">
        <v>49</v>
      </c>
      <c r="C8" s="583"/>
      <c r="D8" s="583"/>
      <c r="E8" s="583"/>
      <c r="F8" s="586" t="s">
        <v>50</v>
      </c>
      <c r="G8" s="587"/>
      <c r="H8" s="587"/>
      <c r="I8" s="588"/>
      <c r="J8" s="731"/>
      <c r="K8" s="731"/>
      <c r="L8" s="731"/>
      <c r="M8" s="731"/>
      <c r="N8" s="582" t="s">
        <v>51</v>
      </c>
      <c r="O8" s="583"/>
      <c r="P8" s="583"/>
      <c r="Q8" s="583"/>
      <c r="R8" s="592" t="s">
        <v>52</v>
      </c>
      <c r="S8" s="593"/>
      <c r="T8" s="593"/>
      <c r="U8" s="594"/>
      <c r="V8" s="603"/>
      <c r="W8" s="604"/>
      <c r="X8" s="604"/>
      <c r="Y8" s="604"/>
    </row>
    <row r="9" spans="2:25" ht="15" customHeight="1">
      <c r="B9" s="584"/>
      <c r="C9" s="585"/>
      <c r="D9" s="585"/>
      <c r="E9" s="585"/>
      <c r="F9" s="589"/>
      <c r="G9" s="590"/>
      <c r="H9" s="590"/>
      <c r="I9" s="591"/>
      <c r="J9" s="731"/>
      <c r="K9" s="731"/>
      <c r="L9" s="731"/>
      <c r="M9" s="731"/>
      <c r="N9" s="584"/>
      <c r="O9" s="585"/>
      <c r="P9" s="585"/>
      <c r="Q9" s="585"/>
      <c r="R9" s="595"/>
      <c r="S9" s="596"/>
      <c r="T9" s="596"/>
      <c r="U9" s="597"/>
      <c r="V9" s="605"/>
      <c r="W9" s="604"/>
      <c r="X9" s="604"/>
      <c r="Y9" s="604"/>
    </row>
    <row r="10" spans="2:25" ht="15" customHeight="1">
      <c r="B10" s="608"/>
      <c r="C10" s="609"/>
      <c r="D10" s="609"/>
      <c r="E10" s="610"/>
      <c r="F10" s="617"/>
      <c r="G10" s="618"/>
      <c r="H10" s="618"/>
      <c r="I10" s="619"/>
      <c r="J10" s="731"/>
      <c r="K10" s="731"/>
      <c r="L10" s="731"/>
      <c r="M10" s="731"/>
      <c r="N10" s="608"/>
      <c r="O10" s="609"/>
      <c r="P10" s="609"/>
      <c r="Q10" s="610"/>
      <c r="R10" s="617"/>
      <c r="S10" s="618"/>
      <c r="T10" s="618"/>
      <c r="U10" s="619"/>
    </row>
    <row r="11" spans="2:25" ht="15" customHeight="1">
      <c r="B11" s="611"/>
      <c r="C11" s="612"/>
      <c r="D11" s="612"/>
      <c r="E11" s="613"/>
      <c r="F11" s="620"/>
      <c r="G11" s="621"/>
      <c r="H11" s="621"/>
      <c r="I11" s="622"/>
      <c r="J11" s="731"/>
      <c r="K11" s="731"/>
      <c r="L11" s="731"/>
      <c r="M11" s="731"/>
      <c r="N11" s="611"/>
      <c r="O11" s="612"/>
      <c r="P11" s="612"/>
      <c r="Q11" s="613"/>
      <c r="R11" s="620"/>
      <c r="S11" s="621"/>
      <c r="T11" s="621"/>
      <c r="U11" s="622"/>
    </row>
    <row r="12" spans="2:25" ht="15" customHeight="1">
      <c r="B12" s="611"/>
      <c r="C12" s="612"/>
      <c r="D12" s="612"/>
      <c r="E12" s="613"/>
      <c r="F12" s="620"/>
      <c r="G12" s="621"/>
      <c r="H12" s="621"/>
      <c r="I12" s="622"/>
      <c r="J12" s="731"/>
      <c r="K12" s="731"/>
      <c r="L12" s="731"/>
      <c r="M12" s="731"/>
      <c r="N12" s="611"/>
      <c r="O12" s="612"/>
      <c r="P12" s="612"/>
      <c r="Q12" s="613"/>
      <c r="R12" s="620"/>
      <c r="S12" s="621"/>
      <c r="T12" s="621"/>
      <c r="U12" s="622"/>
    </row>
    <row r="13" spans="2:25" ht="15" customHeight="1">
      <c r="B13" s="611"/>
      <c r="C13" s="612"/>
      <c r="D13" s="612"/>
      <c r="E13" s="613"/>
      <c r="F13" s="620"/>
      <c r="G13" s="621"/>
      <c r="H13" s="621"/>
      <c r="I13" s="622"/>
      <c r="J13" s="731"/>
      <c r="K13" s="731"/>
      <c r="L13" s="731"/>
      <c r="M13" s="731"/>
      <c r="N13" s="611"/>
      <c r="O13" s="612"/>
      <c r="P13" s="612"/>
      <c r="Q13" s="613"/>
      <c r="R13" s="620"/>
      <c r="S13" s="621"/>
      <c r="T13" s="621"/>
      <c r="U13" s="622"/>
    </row>
    <row r="14" spans="2:25" ht="15" customHeight="1">
      <c r="B14" s="611"/>
      <c r="C14" s="612"/>
      <c r="D14" s="612"/>
      <c r="E14" s="613"/>
      <c r="F14" s="620"/>
      <c r="G14" s="621"/>
      <c r="H14" s="621"/>
      <c r="I14" s="622"/>
      <c r="J14" s="731"/>
      <c r="K14" s="731"/>
      <c r="L14" s="731"/>
      <c r="M14" s="731"/>
      <c r="N14" s="611"/>
      <c r="O14" s="612"/>
      <c r="P14" s="612"/>
      <c r="Q14" s="613"/>
      <c r="R14" s="620"/>
      <c r="S14" s="621"/>
      <c r="T14" s="621"/>
      <c r="U14" s="622"/>
    </row>
    <row r="15" spans="2:25" ht="15" customHeight="1">
      <c r="B15" s="611"/>
      <c r="C15" s="612"/>
      <c r="D15" s="612"/>
      <c r="E15" s="613"/>
      <c r="F15" s="620"/>
      <c r="G15" s="621"/>
      <c r="H15" s="621"/>
      <c r="I15" s="622"/>
      <c r="J15" s="731"/>
      <c r="K15" s="731"/>
      <c r="L15" s="731"/>
      <c r="M15" s="731"/>
      <c r="N15" s="611"/>
      <c r="O15" s="612"/>
      <c r="P15" s="612"/>
      <c r="Q15" s="613"/>
      <c r="R15" s="620"/>
      <c r="S15" s="621"/>
      <c r="T15" s="621"/>
      <c r="U15" s="622"/>
    </row>
    <row r="16" spans="2:25" ht="15" customHeight="1">
      <c r="B16" s="611"/>
      <c r="C16" s="612"/>
      <c r="D16" s="612"/>
      <c r="E16" s="613"/>
      <c r="F16" s="620"/>
      <c r="G16" s="621"/>
      <c r="H16" s="621"/>
      <c r="I16" s="622"/>
      <c r="J16" s="731"/>
      <c r="K16" s="731"/>
      <c r="L16" s="731"/>
      <c r="M16" s="731"/>
      <c r="N16" s="611"/>
      <c r="O16" s="612"/>
      <c r="P16" s="612"/>
      <c r="Q16" s="613"/>
      <c r="R16" s="620"/>
      <c r="S16" s="621"/>
      <c r="T16" s="621"/>
      <c r="U16" s="622"/>
    </row>
    <row r="17" spans="2:21" ht="15" customHeight="1">
      <c r="B17" s="611"/>
      <c r="C17" s="612"/>
      <c r="D17" s="612"/>
      <c r="E17" s="613"/>
      <c r="F17" s="620"/>
      <c r="G17" s="621"/>
      <c r="H17" s="621"/>
      <c r="I17" s="622"/>
      <c r="J17" s="731"/>
      <c r="K17" s="731"/>
      <c r="L17" s="731"/>
      <c r="M17" s="731"/>
      <c r="N17" s="611"/>
      <c r="O17" s="612"/>
      <c r="P17" s="612"/>
      <c r="Q17" s="613"/>
      <c r="R17" s="620"/>
      <c r="S17" s="621"/>
      <c r="T17" s="621"/>
      <c r="U17" s="622"/>
    </row>
    <row r="18" spans="2:21" ht="15" customHeight="1">
      <c r="B18" s="611"/>
      <c r="C18" s="612"/>
      <c r="D18" s="612"/>
      <c r="E18" s="613"/>
      <c r="F18" s="620"/>
      <c r="G18" s="621"/>
      <c r="H18" s="621"/>
      <c r="I18" s="622"/>
      <c r="J18" s="731"/>
      <c r="K18" s="731"/>
      <c r="L18" s="731"/>
      <c r="M18" s="731"/>
      <c r="N18" s="611"/>
      <c r="O18" s="612"/>
      <c r="P18" s="612"/>
      <c r="Q18" s="613"/>
      <c r="R18" s="620"/>
      <c r="S18" s="621"/>
      <c r="T18" s="621"/>
      <c r="U18" s="622"/>
    </row>
    <row r="19" spans="2:21" ht="15" customHeight="1">
      <c r="B19" s="611"/>
      <c r="C19" s="612"/>
      <c r="D19" s="612"/>
      <c r="E19" s="613"/>
      <c r="F19" s="620"/>
      <c r="G19" s="621"/>
      <c r="H19" s="621"/>
      <c r="I19" s="622"/>
      <c r="J19" s="731"/>
      <c r="K19" s="731"/>
      <c r="L19" s="731"/>
      <c r="M19" s="731"/>
      <c r="N19" s="611"/>
      <c r="O19" s="612"/>
      <c r="P19" s="612"/>
      <c r="Q19" s="613"/>
      <c r="R19" s="620"/>
      <c r="S19" s="621"/>
      <c r="T19" s="621"/>
      <c r="U19" s="622"/>
    </row>
    <row r="20" spans="2:21" ht="15" customHeight="1">
      <c r="B20" s="611"/>
      <c r="C20" s="612"/>
      <c r="D20" s="612"/>
      <c r="E20" s="613"/>
      <c r="F20" s="620"/>
      <c r="G20" s="621"/>
      <c r="H20" s="621"/>
      <c r="I20" s="622"/>
      <c r="J20" s="731"/>
      <c r="K20" s="731"/>
      <c r="L20" s="731"/>
      <c r="M20" s="731"/>
      <c r="N20" s="611"/>
      <c r="O20" s="612"/>
      <c r="P20" s="612"/>
      <c r="Q20" s="613"/>
      <c r="R20" s="620"/>
      <c r="S20" s="621"/>
      <c r="T20" s="621"/>
      <c r="U20" s="622"/>
    </row>
    <row r="21" spans="2:21" ht="15" customHeight="1">
      <c r="B21" s="611"/>
      <c r="C21" s="612"/>
      <c r="D21" s="612"/>
      <c r="E21" s="613"/>
      <c r="F21" s="620"/>
      <c r="G21" s="621"/>
      <c r="H21" s="621"/>
      <c r="I21" s="622"/>
      <c r="J21" s="731"/>
      <c r="K21" s="731"/>
      <c r="L21" s="731"/>
      <c r="M21" s="731"/>
      <c r="N21" s="611"/>
      <c r="O21" s="612"/>
      <c r="P21" s="612"/>
      <c r="Q21" s="613"/>
      <c r="R21" s="620"/>
      <c r="S21" s="621"/>
      <c r="T21" s="621"/>
      <c r="U21" s="622"/>
    </row>
    <row r="22" spans="2:21" ht="15" customHeight="1">
      <c r="B22" s="611"/>
      <c r="C22" s="612"/>
      <c r="D22" s="612"/>
      <c r="E22" s="613"/>
      <c r="F22" s="620"/>
      <c r="G22" s="621"/>
      <c r="H22" s="621"/>
      <c r="I22" s="622"/>
      <c r="J22" s="731"/>
      <c r="K22" s="731"/>
      <c r="L22" s="731"/>
      <c r="M22" s="731"/>
      <c r="N22" s="611"/>
      <c r="O22" s="612"/>
      <c r="P22" s="612"/>
      <c r="Q22" s="613"/>
      <c r="R22" s="620"/>
      <c r="S22" s="621"/>
      <c r="T22" s="621"/>
      <c r="U22" s="622"/>
    </row>
    <row r="23" spans="2:21" ht="15" customHeight="1">
      <c r="B23" s="611"/>
      <c r="C23" s="612"/>
      <c r="D23" s="612"/>
      <c r="E23" s="613"/>
      <c r="F23" s="620"/>
      <c r="G23" s="621"/>
      <c r="H23" s="621"/>
      <c r="I23" s="622"/>
      <c r="J23" s="731"/>
      <c r="K23" s="731"/>
      <c r="L23" s="731"/>
      <c r="M23" s="731"/>
      <c r="N23" s="611"/>
      <c r="O23" s="612"/>
      <c r="P23" s="612"/>
      <c r="Q23" s="613"/>
      <c r="R23" s="620"/>
      <c r="S23" s="621"/>
      <c r="T23" s="621"/>
      <c r="U23" s="622"/>
    </row>
    <row r="24" spans="2:21" ht="15" customHeight="1">
      <c r="B24" s="611"/>
      <c r="C24" s="612"/>
      <c r="D24" s="612"/>
      <c r="E24" s="613"/>
      <c r="F24" s="620"/>
      <c r="G24" s="621"/>
      <c r="H24" s="621"/>
      <c r="I24" s="622"/>
      <c r="J24" s="731"/>
      <c r="K24" s="731"/>
      <c r="L24" s="731"/>
      <c r="M24" s="731"/>
      <c r="N24" s="611"/>
      <c r="O24" s="612"/>
      <c r="P24" s="612"/>
      <c r="Q24" s="613"/>
      <c r="R24" s="620"/>
      <c r="S24" s="621"/>
      <c r="T24" s="621"/>
      <c r="U24" s="622"/>
    </row>
    <row r="25" spans="2:21" ht="15" customHeight="1">
      <c r="B25" s="611"/>
      <c r="C25" s="612"/>
      <c r="D25" s="612"/>
      <c r="E25" s="613"/>
      <c r="F25" s="620"/>
      <c r="G25" s="621"/>
      <c r="H25" s="621"/>
      <c r="I25" s="622"/>
      <c r="J25" s="731"/>
      <c r="K25" s="731"/>
      <c r="L25" s="731"/>
      <c r="M25" s="731"/>
      <c r="N25" s="611"/>
      <c r="O25" s="612"/>
      <c r="P25" s="612"/>
      <c r="Q25" s="613"/>
      <c r="R25" s="620"/>
      <c r="S25" s="621"/>
      <c r="T25" s="621"/>
      <c r="U25" s="622"/>
    </row>
    <row r="26" spans="2:21" ht="15" customHeight="1">
      <c r="B26" s="611"/>
      <c r="C26" s="612"/>
      <c r="D26" s="612"/>
      <c r="E26" s="613"/>
      <c r="F26" s="620"/>
      <c r="G26" s="621"/>
      <c r="H26" s="621"/>
      <c r="I26" s="622"/>
      <c r="J26" s="731"/>
      <c r="K26" s="731"/>
      <c r="L26" s="731"/>
      <c r="M26" s="731"/>
      <c r="N26" s="611"/>
      <c r="O26" s="612"/>
      <c r="P26" s="612"/>
      <c r="Q26" s="613"/>
      <c r="R26" s="620"/>
      <c r="S26" s="621"/>
      <c r="T26" s="621"/>
      <c r="U26" s="622"/>
    </row>
    <row r="27" spans="2:21" ht="15" customHeight="1">
      <c r="B27" s="614"/>
      <c r="C27" s="615"/>
      <c r="D27" s="615"/>
      <c r="E27" s="616"/>
      <c r="F27" s="620"/>
      <c r="G27" s="621"/>
      <c r="H27" s="621"/>
      <c r="I27" s="622"/>
      <c r="J27" s="731"/>
      <c r="K27" s="731"/>
      <c r="L27" s="731"/>
      <c r="M27" s="731"/>
      <c r="N27" s="614"/>
      <c r="O27" s="615"/>
      <c r="P27" s="615"/>
      <c r="Q27" s="616"/>
      <c r="R27" s="620"/>
      <c r="S27" s="621"/>
      <c r="T27" s="621"/>
      <c r="U27" s="622"/>
    </row>
    <row r="28" spans="2:21" ht="15" customHeight="1">
      <c r="B28" s="626" t="s">
        <v>53</v>
      </c>
      <c r="C28" s="627"/>
      <c r="D28" s="627"/>
      <c r="E28" s="628"/>
      <c r="F28" s="620"/>
      <c r="G28" s="621"/>
      <c r="H28" s="621"/>
      <c r="I28" s="622"/>
      <c r="J28" s="731"/>
      <c r="K28" s="731"/>
      <c r="L28" s="731"/>
      <c r="M28" s="731"/>
      <c r="N28" s="626" t="s">
        <v>54</v>
      </c>
      <c r="O28" s="627"/>
      <c r="P28" s="627"/>
      <c r="Q28" s="628"/>
      <c r="R28" s="620"/>
      <c r="S28" s="621"/>
      <c r="T28" s="621"/>
      <c r="U28" s="622"/>
    </row>
    <row r="29" spans="2:21" ht="15" customHeight="1">
      <c r="B29" s="629"/>
      <c r="C29" s="630"/>
      <c r="D29" s="630"/>
      <c r="E29" s="631"/>
      <c r="F29" s="620"/>
      <c r="G29" s="621"/>
      <c r="H29" s="621"/>
      <c r="I29" s="622"/>
      <c r="J29" s="731"/>
      <c r="K29" s="731"/>
      <c r="L29" s="731"/>
      <c r="M29" s="731"/>
      <c r="N29" s="629"/>
      <c r="O29" s="630"/>
      <c r="P29" s="630"/>
      <c r="Q29" s="631"/>
      <c r="R29" s="620"/>
      <c r="S29" s="621"/>
      <c r="T29" s="621"/>
      <c r="U29" s="622"/>
    </row>
    <row r="30" spans="2:21" ht="15" customHeight="1">
      <c r="B30" s="608"/>
      <c r="C30" s="609"/>
      <c r="D30" s="609"/>
      <c r="E30" s="610"/>
      <c r="F30" s="620"/>
      <c r="G30" s="621"/>
      <c r="H30" s="621"/>
      <c r="I30" s="622"/>
      <c r="J30" s="731"/>
      <c r="K30" s="731"/>
      <c r="L30" s="731"/>
      <c r="M30" s="731"/>
      <c r="N30" s="608"/>
      <c r="O30" s="609"/>
      <c r="P30" s="609"/>
      <c r="Q30" s="610"/>
      <c r="R30" s="620"/>
      <c r="S30" s="621"/>
      <c r="T30" s="621"/>
      <c r="U30" s="622"/>
    </row>
    <row r="31" spans="2:21" ht="15" customHeight="1">
      <c r="B31" s="611"/>
      <c r="C31" s="612"/>
      <c r="D31" s="612"/>
      <c r="E31" s="613"/>
      <c r="F31" s="620"/>
      <c r="G31" s="621"/>
      <c r="H31" s="621"/>
      <c r="I31" s="622"/>
      <c r="J31" s="731"/>
      <c r="K31" s="731"/>
      <c r="L31" s="731"/>
      <c r="M31" s="731"/>
      <c r="N31" s="611"/>
      <c r="O31" s="612"/>
      <c r="P31" s="612"/>
      <c r="Q31" s="613"/>
      <c r="R31" s="620"/>
      <c r="S31" s="621"/>
      <c r="T31" s="621"/>
      <c r="U31" s="622"/>
    </row>
    <row r="32" spans="2:21" ht="15" customHeight="1">
      <c r="B32" s="611"/>
      <c r="C32" s="612"/>
      <c r="D32" s="612"/>
      <c r="E32" s="613"/>
      <c r="F32" s="620"/>
      <c r="G32" s="621"/>
      <c r="H32" s="621"/>
      <c r="I32" s="622"/>
      <c r="J32" s="731"/>
      <c r="K32" s="731"/>
      <c r="L32" s="731"/>
      <c r="M32" s="731"/>
      <c r="N32" s="611"/>
      <c r="O32" s="612"/>
      <c r="P32" s="612"/>
      <c r="Q32" s="613"/>
      <c r="R32" s="620"/>
      <c r="S32" s="621"/>
      <c r="T32" s="621"/>
      <c r="U32" s="622"/>
    </row>
    <row r="33" spans="2:21" ht="15" customHeight="1">
      <c r="B33" s="611"/>
      <c r="C33" s="612"/>
      <c r="D33" s="612"/>
      <c r="E33" s="613"/>
      <c r="F33" s="620"/>
      <c r="G33" s="621"/>
      <c r="H33" s="621"/>
      <c r="I33" s="622"/>
      <c r="J33" s="731"/>
      <c r="K33" s="731"/>
      <c r="L33" s="731"/>
      <c r="M33" s="731"/>
      <c r="N33" s="611"/>
      <c r="O33" s="612"/>
      <c r="P33" s="612"/>
      <c r="Q33" s="613"/>
      <c r="R33" s="620"/>
      <c r="S33" s="621"/>
      <c r="T33" s="621"/>
      <c r="U33" s="622"/>
    </row>
    <row r="34" spans="2:21" ht="15" customHeight="1">
      <c r="B34" s="611"/>
      <c r="C34" s="612"/>
      <c r="D34" s="612"/>
      <c r="E34" s="613"/>
      <c r="F34" s="620"/>
      <c r="G34" s="621"/>
      <c r="H34" s="621"/>
      <c r="I34" s="622"/>
      <c r="J34" s="731"/>
      <c r="K34" s="731"/>
      <c r="L34" s="731"/>
      <c r="M34" s="731"/>
      <c r="N34" s="611"/>
      <c r="O34" s="612"/>
      <c r="P34" s="612"/>
      <c r="Q34" s="613"/>
      <c r="R34" s="620"/>
      <c r="S34" s="621"/>
      <c r="T34" s="621"/>
      <c r="U34" s="622"/>
    </row>
    <row r="35" spans="2:21" ht="15" customHeight="1">
      <c r="B35" s="611"/>
      <c r="C35" s="612"/>
      <c r="D35" s="612"/>
      <c r="E35" s="613"/>
      <c r="F35" s="620"/>
      <c r="G35" s="621"/>
      <c r="H35" s="621"/>
      <c r="I35" s="622"/>
      <c r="J35" s="731"/>
      <c r="K35" s="731"/>
      <c r="L35" s="731"/>
      <c r="M35" s="731"/>
      <c r="N35" s="611"/>
      <c r="O35" s="612"/>
      <c r="P35" s="612"/>
      <c r="Q35" s="613"/>
      <c r="R35" s="620"/>
      <c r="S35" s="621"/>
      <c r="T35" s="621"/>
      <c r="U35" s="622"/>
    </row>
    <row r="36" spans="2:21" ht="15" customHeight="1">
      <c r="B36" s="611"/>
      <c r="C36" s="612"/>
      <c r="D36" s="612"/>
      <c r="E36" s="613"/>
      <c r="F36" s="620"/>
      <c r="G36" s="621"/>
      <c r="H36" s="621"/>
      <c r="I36" s="622"/>
      <c r="J36" s="731"/>
      <c r="K36" s="731"/>
      <c r="L36" s="731"/>
      <c r="M36" s="731"/>
      <c r="N36" s="611"/>
      <c r="O36" s="612"/>
      <c r="P36" s="612"/>
      <c r="Q36" s="613"/>
      <c r="R36" s="620"/>
      <c r="S36" s="621"/>
      <c r="T36" s="621"/>
      <c r="U36" s="622"/>
    </row>
    <row r="37" spans="2:21" ht="15" customHeight="1">
      <c r="B37" s="611"/>
      <c r="C37" s="612"/>
      <c r="D37" s="612"/>
      <c r="E37" s="613"/>
      <c r="F37" s="620"/>
      <c r="G37" s="621"/>
      <c r="H37" s="621"/>
      <c r="I37" s="622"/>
      <c r="J37" s="731"/>
      <c r="K37" s="731"/>
      <c r="L37" s="731"/>
      <c r="M37" s="731"/>
      <c r="N37" s="611"/>
      <c r="O37" s="612"/>
      <c r="P37" s="612"/>
      <c r="Q37" s="613"/>
      <c r="R37" s="620"/>
      <c r="S37" s="621"/>
      <c r="T37" s="621"/>
      <c r="U37" s="622"/>
    </row>
    <row r="38" spans="2:21" ht="15" customHeight="1">
      <c r="B38" s="611"/>
      <c r="C38" s="612"/>
      <c r="D38" s="612"/>
      <c r="E38" s="613"/>
      <c r="F38" s="620"/>
      <c r="G38" s="621"/>
      <c r="H38" s="621"/>
      <c r="I38" s="622"/>
      <c r="J38" s="731"/>
      <c r="K38" s="731"/>
      <c r="L38" s="731"/>
      <c r="M38" s="731"/>
      <c r="N38" s="611"/>
      <c r="O38" s="612"/>
      <c r="P38" s="612"/>
      <c r="Q38" s="613"/>
      <c r="R38" s="620"/>
      <c r="S38" s="621"/>
      <c r="T38" s="621"/>
      <c r="U38" s="622"/>
    </row>
    <row r="39" spans="2:21" ht="15" customHeight="1">
      <c r="B39" s="611"/>
      <c r="C39" s="612"/>
      <c r="D39" s="612"/>
      <c r="E39" s="613"/>
      <c r="F39" s="620"/>
      <c r="G39" s="621"/>
      <c r="H39" s="621"/>
      <c r="I39" s="622"/>
      <c r="J39" s="731"/>
      <c r="K39" s="731"/>
      <c r="L39" s="731"/>
      <c r="M39" s="731"/>
      <c r="N39" s="611"/>
      <c r="O39" s="612"/>
      <c r="P39" s="612"/>
      <c r="Q39" s="613"/>
      <c r="R39" s="620"/>
      <c r="S39" s="621"/>
      <c r="T39" s="621"/>
      <c r="U39" s="622"/>
    </row>
    <row r="40" spans="2:21" ht="15" customHeight="1">
      <c r="B40" s="611"/>
      <c r="C40" s="612"/>
      <c r="D40" s="612"/>
      <c r="E40" s="613"/>
      <c r="F40" s="620"/>
      <c r="G40" s="621"/>
      <c r="H40" s="621"/>
      <c r="I40" s="622"/>
      <c r="J40" s="731"/>
      <c r="K40" s="731"/>
      <c r="L40" s="731"/>
      <c r="M40" s="731"/>
      <c r="N40" s="611"/>
      <c r="O40" s="612"/>
      <c r="P40" s="612"/>
      <c r="Q40" s="613"/>
      <c r="R40" s="620"/>
      <c r="S40" s="621"/>
      <c r="T40" s="621"/>
      <c r="U40" s="622"/>
    </row>
    <row r="41" spans="2:21" ht="15" customHeight="1">
      <c r="B41" s="611"/>
      <c r="C41" s="612"/>
      <c r="D41" s="612"/>
      <c r="E41" s="613"/>
      <c r="F41" s="620"/>
      <c r="G41" s="621"/>
      <c r="H41" s="621"/>
      <c r="I41" s="622"/>
      <c r="J41" s="731"/>
      <c r="K41" s="731"/>
      <c r="L41" s="731"/>
      <c r="M41" s="731"/>
      <c r="N41" s="611"/>
      <c r="O41" s="612"/>
      <c r="P41" s="612"/>
      <c r="Q41" s="613"/>
      <c r="R41" s="620"/>
      <c r="S41" s="621"/>
      <c r="T41" s="621"/>
      <c r="U41" s="622"/>
    </row>
    <row r="42" spans="2:21" ht="15" customHeight="1">
      <c r="B42" s="611"/>
      <c r="C42" s="612"/>
      <c r="D42" s="612"/>
      <c r="E42" s="613"/>
      <c r="F42" s="620"/>
      <c r="G42" s="621"/>
      <c r="H42" s="621"/>
      <c r="I42" s="622"/>
      <c r="J42" s="731"/>
      <c r="K42" s="731"/>
      <c r="L42" s="731"/>
      <c r="M42" s="731"/>
      <c r="N42" s="611"/>
      <c r="O42" s="612"/>
      <c r="P42" s="612"/>
      <c r="Q42" s="613"/>
      <c r="R42" s="620"/>
      <c r="S42" s="621"/>
      <c r="T42" s="621"/>
      <c r="U42" s="622"/>
    </row>
    <row r="43" spans="2:21" ht="15" customHeight="1">
      <c r="B43" s="611"/>
      <c r="C43" s="612"/>
      <c r="D43" s="612"/>
      <c r="E43" s="613"/>
      <c r="F43" s="620"/>
      <c r="G43" s="621"/>
      <c r="H43" s="621"/>
      <c r="I43" s="622"/>
      <c r="J43" s="731"/>
      <c r="K43" s="731"/>
      <c r="L43" s="731"/>
      <c r="M43" s="731"/>
      <c r="N43" s="611"/>
      <c r="O43" s="612"/>
      <c r="P43" s="612"/>
      <c r="Q43" s="613"/>
      <c r="R43" s="620"/>
      <c r="S43" s="621"/>
      <c r="T43" s="621"/>
      <c r="U43" s="622"/>
    </row>
    <row r="44" spans="2:21" ht="15" customHeight="1">
      <c r="B44" s="611"/>
      <c r="C44" s="612"/>
      <c r="D44" s="612"/>
      <c r="E44" s="613"/>
      <c r="F44" s="620"/>
      <c r="G44" s="621"/>
      <c r="H44" s="621"/>
      <c r="I44" s="622"/>
      <c r="J44" s="731"/>
      <c r="K44" s="731"/>
      <c r="L44" s="731"/>
      <c r="M44" s="731"/>
      <c r="N44" s="611"/>
      <c r="O44" s="612"/>
      <c r="P44" s="612"/>
      <c r="Q44" s="613"/>
      <c r="R44" s="620"/>
      <c r="S44" s="621"/>
      <c r="T44" s="621"/>
      <c r="U44" s="622"/>
    </row>
    <row r="45" spans="2:21" ht="15" customHeight="1">
      <c r="B45" s="611"/>
      <c r="C45" s="612"/>
      <c r="D45" s="612"/>
      <c r="E45" s="613"/>
      <c r="F45" s="620"/>
      <c r="G45" s="621"/>
      <c r="H45" s="621"/>
      <c r="I45" s="622"/>
      <c r="J45" s="731"/>
      <c r="K45" s="731"/>
      <c r="L45" s="731"/>
      <c r="M45" s="731"/>
      <c r="N45" s="611"/>
      <c r="O45" s="612"/>
      <c r="P45" s="612"/>
      <c r="Q45" s="613"/>
      <c r="R45" s="620"/>
      <c r="S45" s="621"/>
      <c r="T45" s="621"/>
      <c r="U45" s="622"/>
    </row>
    <row r="46" spans="2:21" ht="15" customHeight="1">
      <c r="B46" s="611"/>
      <c r="C46" s="612"/>
      <c r="D46" s="612"/>
      <c r="E46" s="613"/>
      <c r="F46" s="620"/>
      <c r="G46" s="621"/>
      <c r="H46" s="621"/>
      <c r="I46" s="622"/>
      <c r="J46" s="731"/>
      <c r="K46" s="731"/>
      <c r="L46" s="731"/>
      <c r="M46" s="731"/>
      <c r="N46" s="611"/>
      <c r="O46" s="612"/>
      <c r="P46" s="612"/>
      <c r="Q46" s="613"/>
      <c r="R46" s="620"/>
      <c r="S46" s="621"/>
      <c r="T46" s="621"/>
      <c r="U46" s="622"/>
    </row>
    <row r="47" spans="2:21" ht="15" customHeight="1">
      <c r="B47" s="614"/>
      <c r="C47" s="615"/>
      <c r="D47" s="615"/>
      <c r="E47" s="616"/>
      <c r="F47" s="623"/>
      <c r="G47" s="624"/>
      <c r="H47" s="624"/>
      <c r="I47" s="625"/>
      <c r="J47" s="731"/>
      <c r="K47" s="731"/>
      <c r="L47" s="731"/>
      <c r="M47" s="731"/>
      <c r="N47" s="614"/>
      <c r="O47" s="615"/>
      <c r="P47" s="615"/>
      <c r="Q47" s="616"/>
      <c r="R47" s="623"/>
      <c r="S47" s="624"/>
      <c r="T47" s="624"/>
      <c r="U47" s="625"/>
    </row>
    <row r="48" spans="2:21" ht="15" customHeight="1">
      <c r="J48" s="731"/>
      <c r="K48" s="731"/>
      <c r="L48" s="731"/>
      <c r="M48" s="731"/>
    </row>
    <row r="49" spans="2:25" ht="15" customHeight="1">
      <c r="D49" s="544" t="s">
        <v>55</v>
      </c>
      <c r="E49" s="545"/>
      <c r="F49" s="545"/>
      <c r="G49" s="545"/>
      <c r="J49" s="731"/>
      <c r="K49" s="731"/>
      <c r="L49" s="731"/>
      <c r="M49" s="731"/>
      <c r="P49" s="544" t="s">
        <v>56</v>
      </c>
      <c r="Q49" s="545"/>
      <c r="R49" s="545"/>
    </row>
    <row r="50" spans="2:25" ht="15" customHeight="1">
      <c r="D50" s="546"/>
      <c r="E50" s="546"/>
      <c r="F50" s="546"/>
      <c r="G50" s="546"/>
      <c r="J50" s="731"/>
      <c r="K50" s="731"/>
      <c r="L50" s="731"/>
      <c r="M50" s="731"/>
      <c r="P50" s="546"/>
      <c r="Q50" s="546"/>
      <c r="R50" s="546"/>
    </row>
    <row r="51" spans="2:25" ht="15" customHeight="1">
      <c r="J51" s="731"/>
      <c r="K51" s="731"/>
      <c r="L51" s="731"/>
      <c r="M51" s="731"/>
    </row>
    <row r="52" spans="2:25" ht="15" customHeight="1">
      <c r="B52" s="568" t="s">
        <v>57</v>
      </c>
      <c r="C52" s="569"/>
      <c r="D52" s="569"/>
      <c r="E52" s="569"/>
      <c r="F52" s="570"/>
      <c r="G52" s="570"/>
      <c r="H52" s="570"/>
      <c r="I52" s="571"/>
      <c r="J52" s="731"/>
      <c r="K52" s="731"/>
      <c r="L52" s="731"/>
      <c r="M52" s="731"/>
      <c r="N52" s="572" t="s">
        <v>58</v>
      </c>
      <c r="O52" s="573"/>
      <c r="P52" s="573"/>
      <c r="Q52" s="573"/>
      <c r="R52" s="574"/>
      <c r="S52" s="574"/>
      <c r="T52" s="574"/>
      <c r="U52" s="575"/>
    </row>
    <row r="53" spans="2:25" ht="15" customHeight="1">
      <c r="B53" s="536"/>
      <c r="C53" s="537"/>
      <c r="D53" s="537"/>
      <c r="E53" s="537"/>
      <c r="F53" s="540"/>
      <c r="G53" s="540"/>
      <c r="H53" s="540"/>
      <c r="I53" s="541"/>
      <c r="J53" s="731"/>
      <c r="K53" s="731"/>
      <c r="L53" s="731"/>
      <c r="M53" s="731"/>
      <c r="N53" s="576"/>
      <c r="O53" s="577"/>
      <c r="P53" s="577"/>
      <c r="Q53" s="577"/>
      <c r="R53" s="578"/>
      <c r="S53" s="578"/>
      <c r="T53" s="578"/>
      <c r="U53" s="579"/>
    </row>
    <row r="54" spans="2:25" ht="15" customHeight="1">
      <c r="B54" s="561" t="str">
        <f>J4</f>
        <v xml:space="preserve"> </v>
      </c>
      <c r="C54" s="562"/>
      <c r="D54" s="562"/>
      <c r="E54" s="562"/>
      <c r="F54" s="562"/>
      <c r="G54" s="562"/>
      <c r="H54" s="562"/>
      <c r="I54" s="563"/>
      <c r="J54" s="731"/>
      <c r="K54" s="731"/>
      <c r="L54" s="731"/>
      <c r="M54" s="731"/>
      <c r="N54" s="564"/>
      <c r="O54" s="463"/>
      <c r="P54" s="463"/>
      <c r="Q54" s="463"/>
      <c r="R54" s="463"/>
      <c r="S54" s="463"/>
      <c r="T54" s="463"/>
      <c r="U54" s="565"/>
    </row>
    <row r="55" spans="2:25" ht="15" customHeight="1">
      <c r="B55" s="561"/>
      <c r="C55" s="562"/>
      <c r="D55" s="562"/>
      <c r="E55" s="562"/>
      <c r="F55" s="562"/>
      <c r="G55" s="562"/>
      <c r="H55" s="562"/>
      <c r="I55" s="563"/>
      <c r="J55" s="731"/>
      <c r="K55" s="731"/>
      <c r="L55" s="731"/>
      <c r="M55" s="731"/>
      <c r="N55" s="564"/>
      <c r="O55" s="463"/>
      <c r="P55" s="463"/>
      <c r="Q55" s="463"/>
      <c r="R55" s="463"/>
      <c r="S55" s="463"/>
      <c r="T55" s="463"/>
      <c r="U55" s="565"/>
    </row>
    <row r="56" spans="2:25" ht="15" customHeight="1">
      <c r="B56" s="561"/>
      <c r="C56" s="562"/>
      <c r="D56" s="562"/>
      <c r="E56" s="562"/>
      <c r="F56" s="562"/>
      <c r="G56" s="562"/>
      <c r="H56" s="562"/>
      <c r="I56" s="563"/>
      <c r="J56" s="731"/>
      <c r="K56" s="731"/>
      <c r="L56" s="731"/>
      <c r="M56" s="731"/>
      <c r="N56" s="564"/>
      <c r="O56" s="463"/>
      <c r="P56" s="463"/>
      <c r="Q56" s="463"/>
      <c r="R56" s="463"/>
      <c r="S56" s="463"/>
      <c r="T56" s="463"/>
      <c r="U56" s="565"/>
    </row>
    <row r="57" spans="2:25" ht="15" customHeight="1">
      <c r="B57" s="556" t="s">
        <v>59</v>
      </c>
      <c r="C57" s="557"/>
      <c r="D57" s="557"/>
      <c r="E57" s="557"/>
      <c r="F57" s="558"/>
      <c r="G57" s="558"/>
      <c r="H57" s="558"/>
      <c r="I57" s="559"/>
      <c r="J57" s="731"/>
      <c r="K57" s="731"/>
      <c r="L57" s="731"/>
      <c r="M57" s="731"/>
      <c r="N57" s="564"/>
      <c r="O57" s="463"/>
      <c r="P57" s="463"/>
      <c r="Q57" s="463"/>
      <c r="R57" s="463"/>
      <c r="S57" s="463"/>
      <c r="T57" s="463"/>
      <c r="U57" s="565"/>
    </row>
    <row r="58" spans="2:25" ht="15" customHeight="1" thickBot="1">
      <c r="B58" s="556"/>
      <c r="C58" s="557"/>
      <c r="D58" s="557"/>
      <c r="E58" s="557"/>
      <c r="F58" s="558"/>
      <c r="G58" s="558"/>
      <c r="H58" s="558"/>
      <c r="I58" s="559"/>
      <c r="J58" s="731"/>
      <c r="K58" s="731"/>
      <c r="L58" s="731"/>
      <c r="M58" s="731"/>
      <c r="N58" s="564"/>
      <c r="O58" s="463"/>
      <c r="P58" s="463"/>
      <c r="Q58" s="463"/>
      <c r="R58" s="463"/>
      <c r="S58" s="463"/>
      <c r="T58" s="463"/>
      <c r="U58" s="565"/>
    </row>
    <row r="59" spans="2:25" ht="29.25" customHeight="1" thickTop="1">
      <c r="B59" s="547"/>
      <c r="C59" s="548"/>
      <c r="D59" s="548"/>
      <c r="E59" s="548"/>
      <c r="F59" s="548"/>
      <c r="G59" s="548"/>
      <c r="H59" s="548"/>
      <c r="I59" s="549"/>
      <c r="J59" s="731"/>
      <c r="K59" s="731"/>
      <c r="L59" s="731"/>
      <c r="M59" s="731"/>
      <c r="N59" s="564"/>
      <c r="O59" s="463"/>
      <c r="P59" s="463"/>
      <c r="Q59" s="463"/>
      <c r="R59" s="463"/>
      <c r="S59" s="463"/>
      <c r="T59" s="463"/>
      <c r="U59" s="565"/>
      <c r="X59" s="606" t="s">
        <v>25</v>
      </c>
      <c r="Y59" s="607"/>
    </row>
    <row r="60" spans="2:25" ht="15" customHeight="1">
      <c r="B60" s="550"/>
      <c r="C60" s="551"/>
      <c r="D60" s="551"/>
      <c r="E60" s="551"/>
      <c r="F60" s="551"/>
      <c r="G60" s="551"/>
      <c r="H60" s="551"/>
      <c r="I60" s="552"/>
      <c r="J60" s="731"/>
      <c r="K60" s="731"/>
      <c r="L60" s="731"/>
      <c r="M60" s="731"/>
      <c r="N60" s="564"/>
      <c r="O60" s="463"/>
      <c r="P60" s="463"/>
      <c r="Q60" s="463"/>
      <c r="R60" s="463"/>
      <c r="S60" s="463"/>
      <c r="T60" s="463"/>
      <c r="U60" s="565"/>
    </row>
    <row r="61" spans="2:25" ht="15" customHeight="1" thickBot="1">
      <c r="B61" s="553"/>
      <c r="C61" s="554"/>
      <c r="D61" s="554"/>
      <c r="E61" s="554"/>
      <c r="F61" s="554"/>
      <c r="G61" s="554"/>
      <c r="H61" s="554"/>
      <c r="I61" s="555"/>
      <c r="J61" s="731"/>
      <c r="K61" s="731"/>
      <c r="L61" s="731"/>
      <c r="M61" s="731"/>
      <c r="N61" s="564"/>
      <c r="O61" s="463"/>
      <c r="P61" s="463"/>
      <c r="Q61" s="463"/>
      <c r="R61" s="463"/>
      <c r="S61" s="463"/>
      <c r="T61" s="463"/>
      <c r="U61" s="565"/>
    </row>
    <row r="62" spans="2:25" ht="15" customHeight="1" thickTop="1">
      <c r="B62" s="536" t="s">
        <v>60</v>
      </c>
      <c r="C62" s="537"/>
      <c r="D62" s="537"/>
      <c r="E62" s="537"/>
      <c r="F62" s="540"/>
      <c r="G62" s="540"/>
      <c r="H62" s="540"/>
      <c r="I62" s="541"/>
      <c r="J62" s="731"/>
      <c r="K62" s="731"/>
      <c r="L62" s="731"/>
      <c r="M62" s="731"/>
      <c r="N62" s="564"/>
      <c r="O62" s="463"/>
      <c r="P62" s="463"/>
      <c r="Q62" s="463"/>
      <c r="R62" s="463"/>
      <c r="S62" s="463"/>
      <c r="T62" s="463"/>
      <c r="U62" s="565"/>
    </row>
    <row r="63" spans="2:25" ht="15" customHeight="1">
      <c r="B63" s="538"/>
      <c r="C63" s="539"/>
      <c r="D63" s="539"/>
      <c r="E63" s="539"/>
      <c r="F63" s="542"/>
      <c r="G63" s="542"/>
      <c r="H63" s="542"/>
      <c r="I63" s="543"/>
      <c r="J63" s="731"/>
      <c r="K63" s="731"/>
      <c r="L63" s="731"/>
      <c r="M63" s="731"/>
      <c r="N63" s="566"/>
      <c r="O63" s="467"/>
      <c r="P63" s="467"/>
      <c r="Q63" s="467"/>
      <c r="R63" s="467"/>
      <c r="S63" s="467"/>
      <c r="T63" s="467"/>
      <c r="U63" s="567"/>
    </row>
    <row r="64" spans="2:25" ht="15" customHeight="1"/>
    <row r="65" spans="2:21" ht="15.75">
      <c r="B65" s="730" t="s">
        <v>61</v>
      </c>
      <c r="C65" s="730"/>
      <c r="D65" s="730"/>
      <c r="E65" s="730"/>
      <c r="F65" s="730"/>
      <c r="G65" s="730"/>
      <c r="H65" s="730"/>
      <c r="I65" s="730"/>
      <c r="J65" s="730"/>
      <c r="K65" s="730"/>
      <c r="L65" s="730"/>
      <c r="M65" s="730"/>
      <c r="N65" s="730"/>
      <c r="O65" s="730"/>
      <c r="P65" s="730"/>
      <c r="Q65" s="731"/>
      <c r="R65" s="731"/>
      <c r="S65" s="731"/>
      <c r="T65" s="731"/>
      <c r="U65" s="731"/>
    </row>
    <row r="66" spans="2:21">
      <c r="B66" s="730"/>
      <c r="C66" s="730"/>
      <c r="D66" s="730"/>
      <c r="E66" s="730"/>
      <c r="F66" s="730"/>
      <c r="G66" s="730"/>
      <c r="H66" s="730"/>
      <c r="I66" s="730"/>
      <c r="J66" s="730"/>
      <c r="K66" s="730"/>
      <c r="L66" s="730"/>
      <c r="M66" s="730"/>
      <c r="N66" s="730"/>
      <c r="O66" s="730"/>
      <c r="P66" s="730"/>
    </row>
    <row r="67" spans="2:21">
      <c r="B67" s="730" t="s">
        <v>62</v>
      </c>
      <c r="C67" s="730"/>
      <c r="D67" s="730"/>
      <c r="E67" s="730"/>
      <c r="F67" s="730"/>
      <c r="G67" s="730"/>
      <c r="H67" s="730"/>
      <c r="I67" s="730"/>
      <c r="J67" s="730"/>
      <c r="K67" s="730"/>
      <c r="L67" s="730"/>
      <c r="M67" s="730"/>
      <c r="N67" s="730"/>
      <c r="O67" s="730"/>
      <c r="P67" s="730"/>
    </row>
    <row r="68" spans="2:21">
      <c r="B68" s="730" t="s">
        <v>63</v>
      </c>
      <c r="C68" s="730"/>
      <c r="D68" s="730"/>
      <c r="E68" s="730"/>
      <c r="F68" s="730"/>
      <c r="G68" s="730"/>
      <c r="H68" s="730"/>
      <c r="I68" s="730"/>
      <c r="J68" s="730"/>
      <c r="K68" s="730"/>
      <c r="L68" s="730"/>
      <c r="M68" s="730"/>
      <c r="N68" s="730"/>
      <c r="O68" s="730"/>
      <c r="P68" s="730"/>
    </row>
    <row r="69" spans="2:21">
      <c r="B69" s="730"/>
      <c r="C69" s="730"/>
      <c r="D69" s="730"/>
      <c r="E69" s="730"/>
      <c r="F69" s="730"/>
      <c r="G69" s="730"/>
      <c r="H69" s="730"/>
      <c r="I69" s="730"/>
      <c r="J69" s="730"/>
      <c r="K69" s="730"/>
      <c r="L69" s="730"/>
      <c r="M69" s="730"/>
      <c r="N69" s="730"/>
      <c r="O69" s="730"/>
      <c r="P69" s="730"/>
    </row>
    <row r="70" spans="2:21" ht="15.75">
      <c r="B70" s="560" t="s">
        <v>64</v>
      </c>
      <c r="C70" s="560"/>
      <c r="D70" s="560"/>
      <c r="E70" s="560"/>
      <c r="F70" s="560"/>
      <c r="G70" s="560"/>
      <c r="H70" s="560"/>
      <c r="I70" s="560"/>
      <c r="J70" s="560"/>
      <c r="K70" s="560"/>
      <c r="L70" s="560"/>
      <c r="M70" s="560"/>
      <c r="N70" s="560"/>
      <c r="O70" s="560"/>
      <c r="P70" s="560"/>
      <c r="Q70" s="560"/>
      <c r="R70" s="560"/>
      <c r="S70" s="560"/>
      <c r="T70" s="560"/>
      <c r="U70" s="560"/>
    </row>
    <row r="71" spans="2:21">
      <c r="B71" s="730"/>
      <c r="C71" s="730"/>
      <c r="D71" s="730"/>
      <c r="E71" s="730"/>
      <c r="F71" s="730"/>
      <c r="G71" s="730"/>
      <c r="H71" s="730"/>
      <c r="I71" s="730"/>
      <c r="J71" s="730"/>
      <c r="K71" s="730"/>
      <c r="L71" s="730"/>
      <c r="M71" s="730"/>
      <c r="N71" s="730"/>
      <c r="O71" s="730"/>
      <c r="P71" s="730"/>
    </row>
    <row r="72" spans="2:21">
      <c r="B72" s="730" t="s">
        <v>62</v>
      </c>
      <c r="C72" s="730"/>
      <c r="D72" s="730"/>
      <c r="E72" s="730"/>
      <c r="F72" s="730"/>
      <c r="G72" s="730"/>
      <c r="H72" s="730"/>
      <c r="I72" s="730"/>
      <c r="J72" s="730"/>
      <c r="K72" s="730"/>
      <c r="L72" s="730"/>
      <c r="M72" s="730"/>
      <c r="N72" s="730"/>
      <c r="O72" s="730"/>
      <c r="P72" s="730"/>
    </row>
    <row r="73" spans="2:21">
      <c r="B73" s="730" t="s">
        <v>63</v>
      </c>
      <c r="C73" s="730"/>
      <c r="D73" s="730"/>
      <c r="E73" s="730"/>
      <c r="F73" s="730"/>
      <c r="G73" s="730"/>
      <c r="H73" s="730"/>
      <c r="I73" s="730"/>
      <c r="J73" s="730"/>
      <c r="K73" s="730"/>
      <c r="L73" s="730"/>
      <c r="M73" s="730"/>
      <c r="N73" s="730"/>
      <c r="O73" s="730"/>
      <c r="P73" s="730"/>
    </row>
  </sheetData>
  <sheetProtection sheet="1" objects="1" scenarios="1"/>
  <mergeCells count="45">
    <mergeCell ref="X59:Y59"/>
    <mergeCell ref="B10:E27"/>
    <mergeCell ref="F10:I47"/>
    <mergeCell ref="N10:Q27"/>
    <mergeCell ref="R10:U47"/>
    <mergeCell ref="B28:E29"/>
    <mergeCell ref="N28:Q29"/>
    <mergeCell ref="B30:E47"/>
    <mergeCell ref="N30:Q47"/>
    <mergeCell ref="W5:X5"/>
    <mergeCell ref="B8:E9"/>
    <mergeCell ref="F8:I9"/>
    <mergeCell ref="N8:Q9"/>
    <mergeCell ref="R8:U9"/>
    <mergeCell ref="B3:H5"/>
    <mergeCell ref="N3:P3"/>
    <mergeCell ref="R3:S3"/>
    <mergeCell ref="W3:X3"/>
    <mergeCell ref="J4:L5"/>
    <mergeCell ref="N4:P5"/>
    <mergeCell ref="R4:S5"/>
    <mergeCell ref="W4:X4"/>
    <mergeCell ref="J3:L3"/>
    <mergeCell ref="V8:Y9"/>
    <mergeCell ref="B72:P72"/>
    <mergeCell ref="B73:P73"/>
    <mergeCell ref="B59:I61"/>
    <mergeCell ref="B57:I58"/>
    <mergeCell ref="B65:U65"/>
    <mergeCell ref="B66:P66"/>
    <mergeCell ref="B67:P67"/>
    <mergeCell ref="B68:P68"/>
    <mergeCell ref="B69:P69"/>
    <mergeCell ref="B70:U70"/>
    <mergeCell ref="J6:M63"/>
    <mergeCell ref="B54:I56"/>
    <mergeCell ref="N54:U63"/>
    <mergeCell ref="B52:E53"/>
    <mergeCell ref="F52:I53"/>
    <mergeCell ref="N52:U53"/>
    <mergeCell ref="B62:E63"/>
    <mergeCell ref="F62:I63"/>
    <mergeCell ref="D49:G50"/>
    <mergeCell ref="P49:R50"/>
    <mergeCell ref="B71:P71"/>
  </mergeCells>
  <hyperlinks>
    <hyperlink ref="X5" r:id="rId1" tooltip="Learn how to capture your business model in 20 minutes" display="Watch YouTube video" xr:uid="{BB5CF251-B3C5-4194-8A4B-5D7E935CBBDF}"/>
    <hyperlink ref="W4" r:id="rId2" tooltip="Download the Lean Canvas step-by-step Guide" xr:uid="{55060FD8-390D-4E3B-98AD-E09B7DE4416D}"/>
    <hyperlink ref="X4" r:id="rId3" tooltip="Download the Lean Canvas step-by-step Guide" display="https://www.peterjthomson.com/2013/11/value-proposition-canvas/" xr:uid="{D5FFBF76-62A2-4437-ABFF-9EF0564EC70A}"/>
    <hyperlink ref="B70" r:id="rId4" xr:uid="{FBF52C76-74D9-4364-95CB-C2A48A4B13CD}"/>
    <hyperlink ref="C70" r:id="rId5" display="https://neoschronos.com/" xr:uid="{33A7506C-2D33-4780-8D65-CA0D820883BE}"/>
    <hyperlink ref="D70" r:id="rId6" display="https://neoschronos.com/" xr:uid="{8A171A44-38DF-4E0D-9041-01EFC98149F3}"/>
    <hyperlink ref="E70" r:id="rId7" display="https://neoschronos.com/" xr:uid="{41EA3037-830D-489E-B0B5-2227680B60A0}"/>
    <hyperlink ref="F70" r:id="rId8" display="https://neoschronos.com/" xr:uid="{8FCC719E-8572-4D4F-9041-45E16B11D8DC}"/>
    <hyperlink ref="G70" r:id="rId9" display="https://neoschronos.com/" xr:uid="{5FCC9DA4-DA46-4B24-81B1-F7814A778148}"/>
    <hyperlink ref="H70" r:id="rId10" display="https://neoschronos.com/" xr:uid="{6824F29C-E8F5-4C4E-803C-93FFDCEBE047}"/>
    <hyperlink ref="I70" r:id="rId11" display="https://neoschronos.com/" xr:uid="{43702866-DAC7-47B7-9896-5C32F99C9CCA}"/>
    <hyperlink ref="J70" r:id="rId12" display="https://neoschronos.com/" xr:uid="{EADD319D-6C94-45EA-8D9D-FE2D2EF5CDD6}"/>
    <hyperlink ref="K70" r:id="rId13" display="https://neoschronos.com/" xr:uid="{6D0ABB82-42D2-4E2D-8822-E59CC716237A}"/>
    <hyperlink ref="L70" r:id="rId14" display="https://neoschronos.com/" xr:uid="{481A9C3F-F949-4325-A0A6-CAF926239B82}"/>
    <hyperlink ref="M70" r:id="rId15" display="https://neoschronos.com/" xr:uid="{BD4D948F-D19C-4211-B2BD-D7823858BB51}"/>
    <hyperlink ref="N70" r:id="rId16" display="https://neoschronos.com/" xr:uid="{77B1ABB2-BDAC-47A0-AA17-9F43E41A4460}"/>
    <hyperlink ref="O70" r:id="rId17" display="https://neoschronos.com/" xr:uid="{27521EFF-017F-4E90-BB12-781FAF736442}"/>
    <hyperlink ref="P70" r:id="rId18" display="https://neoschronos.com/" xr:uid="{BCDD3C7B-F084-4149-96CD-412918B065B2}"/>
    <hyperlink ref="Q70" r:id="rId19" display="https://neoschronos.com/" xr:uid="{DAAA88D8-767F-4DDD-B7E0-A0ABBB9037EA}"/>
    <hyperlink ref="R70" r:id="rId20" display="https://neoschronos.com/" xr:uid="{5D73A48D-67F0-434B-A2FD-C775E1C1D3A7}"/>
    <hyperlink ref="S70" r:id="rId21" display="https://neoschronos.com/" xr:uid="{C3CF1720-BB2C-495F-82AA-30C915D53EE2}"/>
    <hyperlink ref="T70" r:id="rId22" display="https://neoschronos.com/" xr:uid="{B6E79F81-9EBB-4E48-B325-431B51DFE719}"/>
    <hyperlink ref="U70" r:id="rId23" display="https://neoschronos.com/" xr:uid="{A50B6EA1-33CB-4E47-865E-E19C48C9B75A}"/>
    <hyperlink ref="X59" location="'Lean Canvas'!A1" display="Back Lean Canvas" xr:uid="{F695FD1F-BF8C-4EA1-8CFD-F2F6EAFE87AC}"/>
  </hyperlinks>
  <printOptions horizontalCentered="1" verticalCentered="1"/>
  <pageMargins left="0" right="0" top="0" bottom="0" header="0" footer="0"/>
  <pageSetup paperSize="9" scale="53" orientation="landscape" horizontalDpi="4294967293" verticalDpi="4294967293" r:id="rId24"/>
  <headerFooter alignWithMargins="0"/>
  <drawing r:id="rId25"/>
  <legacyDrawing r:id="rId2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34EB-03EB-4E74-B675-28360B0105E5}">
  <sheetPr codeName="Sheet10"/>
  <dimension ref="A1:CZ256"/>
  <sheetViews>
    <sheetView topLeftCell="A3" workbookViewId="0">
      <selection activeCell="A6" sqref="A6"/>
    </sheetView>
  </sheetViews>
  <sheetFormatPr defaultRowHeight="15.75"/>
  <cols>
    <col min="1" max="1" width="93.625" customWidth="1"/>
    <col min="2" max="104" width="9" style="97"/>
  </cols>
  <sheetData>
    <row r="1" spans="1:6">
      <c r="A1" s="102" t="str">
        <f>'Lean Canvas'!N28</f>
        <v>Channels</v>
      </c>
    </row>
    <row r="2" spans="1:6">
      <c r="A2" s="100" t="s">
        <v>65</v>
      </c>
      <c r="C2" s="518">
        <f>'Lean Canvas'!N30</f>
        <v>0</v>
      </c>
      <c r="D2" s="518"/>
      <c r="E2" s="518"/>
      <c r="F2" s="518"/>
    </row>
    <row r="3" spans="1:6" ht="111.75" customHeight="1">
      <c r="A3" s="99"/>
      <c r="C3" s="518"/>
      <c r="D3" s="518"/>
      <c r="E3" s="518"/>
      <c r="F3" s="518"/>
    </row>
    <row r="4" spans="1:6">
      <c r="A4" s="100" t="s">
        <v>66</v>
      </c>
      <c r="C4" s="518"/>
      <c r="D4" s="518"/>
      <c r="E4" s="518"/>
      <c r="F4" s="518"/>
    </row>
    <row r="5" spans="1:6" ht="111.75" customHeight="1">
      <c r="A5" s="99"/>
      <c r="C5" s="518"/>
      <c r="D5" s="518"/>
      <c r="E5" s="518"/>
      <c r="F5" s="518"/>
    </row>
    <row r="6" spans="1:6" ht="31.5">
      <c r="A6" s="458" t="s">
        <v>67</v>
      </c>
      <c r="C6" s="454" t="s">
        <v>25</v>
      </c>
      <c r="D6" s="455"/>
    </row>
    <row r="7" spans="1:6" ht="111.75" customHeight="1">
      <c r="A7" s="99"/>
    </row>
    <row r="8" spans="1:6" s="97" customFormat="1"/>
    <row r="9" spans="1:6" s="97" customFormat="1"/>
    <row r="10" spans="1:6" s="97" customFormat="1"/>
    <row r="11" spans="1:6" s="97" customFormat="1"/>
    <row r="12" spans="1:6" s="97" customFormat="1"/>
    <row r="13" spans="1:6" s="97" customFormat="1"/>
    <row r="14" spans="1:6" s="97" customFormat="1"/>
    <row r="15" spans="1:6" s="97" customFormat="1"/>
    <row r="16" spans="1:6" s="97" customFormat="1"/>
    <row r="17" s="97" customFormat="1"/>
    <row r="18" s="97" customFormat="1"/>
    <row r="19" s="97" customFormat="1"/>
    <row r="20" s="97" customFormat="1"/>
    <row r="21" s="97" customFormat="1"/>
    <row r="22" s="97" customFormat="1"/>
    <row r="23" s="97" customFormat="1"/>
    <row r="24" s="97" customFormat="1"/>
    <row r="25" s="97" customFormat="1"/>
    <row r="26" s="97" customFormat="1"/>
    <row r="27" s="97" customFormat="1"/>
    <row r="28" s="97" customFormat="1"/>
    <row r="29" s="97" customFormat="1"/>
    <row r="30" s="97" customFormat="1"/>
    <row r="31" s="97" customFormat="1"/>
    <row r="32" s="97" customFormat="1"/>
    <row r="33" s="97" customFormat="1"/>
    <row r="34" s="97" customFormat="1"/>
    <row r="35" s="97" customFormat="1"/>
    <row r="36" s="97" customFormat="1"/>
    <row r="37" s="97" customFormat="1"/>
    <row r="38" s="97" customFormat="1"/>
    <row r="39" s="97" customFormat="1"/>
    <row r="40" s="97" customFormat="1"/>
    <row r="41" s="97" customFormat="1"/>
    <row r="42" s="97" customFormat="1"/>
    <row r="43" s="97" customFormat="1"/>
    <row r="44" s="97" customFormat="1"/>
    <row r="45" s="97" customFormat="1"/>
    <row r="46" s="97" customFormat="1"/>
    <row r="47" s="97" customFormat="1"/>
    <row r="48" s="97" customFormat="1"/>
    <row r="49" s="97" customFormat="1"/>
    <row r="50" s="97" customFormat="1"/>
    <row r="51" s="97" customFormat="1"/>
    <row r="52" s="97" customFormat="1"/>
    <row r="53" s="97" customFormat="1"/>
    <row r="54" s="97" customFormat="1"/>
    <row r="55" s="97" customFormat="1"/>
    <row r="56" s="97" customFormat="1"/>
    <row r="57" s="97" customFormat="1"/>
    <row r="58" s="97" customFormat="1"/>
    <row r="59" s="97" customFormat="1"/>
    <row r="60" s="97" customFormat="1"/>
    <row r="61" s="97" customFormat="1"/>
    <row r="62" s="97" customFormat="1"/>
    <row r="63" s="97" customFormat="1"/>
    <row r="64" s="97" customFormat="1"/>
    <row r="65" s="97" customFormat="1"/>
    <row r="66" s="97" customFormat="1"/>
    <row r="67" s="97" customFormat="1"/>
    <row r="68" s="97" customFormat="1"/>
    <row r="69" s="97" customFormat="1"/>
    <row r="70" s="97" customFormat="1"/>
    <row r="71" s="97" customFormat="1"/>
    <row r="72" s="97" customFormat="1"/>
    <row r="73" s="97" customFormat="1"/>
    <row r="74" s="97" customFormat="1"/>
    <row r="75" s="97" customFormat="1"/>
    <row r="76" s="97" customFormat="1"/>
    <row r="77" s="97" customFormat="1"/>
    <row r="78" s="97" customFormat="1"/>
    <row r="79" s="97" customFormat="1"/>
    <row r="80" s="97" customFormat="1"/>
    <row r="81" s="97" customFormat="1"/>
    <row r="82" s="97" customFormat="1"/>
    <row r="83" s="97" customFormat="1"/>
    <row r="84" s="97" customFormat="1"/>
    <row r="85" s="97" customFormat="1"/>
    <row r="86" s="97" customFormat="1"/>
    <row r="87" s="97" customFormat="1"/>
    <row r="88" s="97" customFormat="1"/>
    <row r="89" s="97" customFormat="1"/>
    <row r="90" s="97" customFormat="1"/>
    <row r="91" s="97" customFormat="1"/>
    <row r="92" s="97" customFormat="1"/>
    <row r="93" s="97" customFormat="1"/>
    <row r="94" s="97" customFormat="1"/>
    <row r="95" s="97" customFormat="1"/>
    <row r="96" s="97" customFormat="1"/>
    <row r="97" s="97" customFormat="1"/>
    <row r="98" s="97" customFormat="1"/>
    <row r="99" s="97" customFormat="1"/>
    <row r="100" s="97" customFormat="1"/>
    <row r="101" s="97" customFormat="1"/>
    <row r="102" s="97" customFormat="1"/>
    <row r="103" s="97" customFormat="1"/>
    <row r="104" s="97" customFormat="1"/>
    <row r="105" s="97" customFormat="1"/>
    <row r="106" s="97" customFormat="1"/>
    <row r="107" s="97" customFormat="1"/>
    <row r="108" s="97" customFormat="1"/>
    <row r="109" s="97" customFormat="1"/>
    <row r="110" s="97" customFormat="1"/>
    <row r="111" s="97" customFormat="1"/>
    <row r="112" s="97" customFormat="1"/>
    <row r="113" s="97" customFormat="1"/>
    <row r="114" s="97" customFormat="1"/>
    <row r="115" s="97" customFormat="1"/>
    <row r="116" s="97" customFormat="1"/>
    <row r="117" s="97" customFormat="1"/>
    <row r="118" s="97" customFormat="1"/>
    <row r="119" s="97" customFormat="1"/>
    <row r="120" s="97" customFormat="1"/>
    <row r="121" s="97" customFormat="1"/>
    <row r="122" s="97" customFormat="1"/>
    <row r="123" s="97" customFormat="1"/>
    <row r="124" s="97" customFormat="1"/>
    <row r="125" s="97" customFormat="1"/>
    <row r="126" s="97" customFormat="1"/>
    <row r="127" s="97" customFormat="1"/>
    <row r="128" s="97" customFormat="1"/>
    <row r="129" s="97" customFormat="1"/>
    <row r="130" s="97" customFormat="1"/>
    <row r="131" s="97" customFormat="1"/>
    <row r="132" s="97" customFormat="1"/>
    <row r="133" s="97" customFormat="1"/>
    <row r="134" s="97" customFormat="1"/>
    <row r="135" s="97" customFormat="1"/>
    <row r="136" s="97" customFormat="1"/>
    <row r="137" s="97" customFormat="1"/>
    <row r="138" s="97" customFormat="1"/>
    <row r="139" s="97" customFormat="1"/>
    <row r="140" s="97" customFormat="1"/>
    <row r="141" s="97" customFormat="1"/>
    <row r="142" s="97" customFormat="1"/>
    <row r="143" s="97" customFormat="1"/>
    <row r="144" s="97" customFormat="1"/>
    <row r="145" s="97" customFormat="1"/>
    <row r="146" s="97" customFormat="1"/>
    <row r="147" s="97" customFormat="1"/>
    <row r="148" s="97" customFormat="1"/>
    <row r="149" s="97" customFormat="1"/>
    <row r="150" s="97" customFormat="1"/>
    <row r="151" s="97" customFormat="1"/>
    <row r="152" s="97" customFormat="1"/>
    <row r="153" s="97" customFormat="1"/>
    <row r="154" s="97" customFormat="1"/>
    <row r="155" s="97" customFormat="1"/>
    <row r="156" s="97" customFormat="1"/>
    <row r="157" s="97" customFormat="1"/>
    <row r="158" s="97" customFormat="1"/>
    <row r="159" s="97" customFormat="1"/>
    <row r="160" s="97" customFormat="1"/>
    <row r="161" s="97" customFormat="1"/>
    <row r="162" s="97" customFormat="1"/>
    <row r="163" s="97" customFormat="1"/>
    <row r="164" s="97" customFormat="1"/>
    <row r="165" s="97" customFormat="1"/>
    <row r="166" s="97" customFormat="1"/>
    <row r="167" s="97" customFormat="1"/>
    <row r="168" s="97" customFormat="1"/>
    <row r="169" s="97" customFormat="1"/>
    <row r="170" s="97" customFormat="1"/>
    <row r="171" s="97" customFormat="1"/>
    <row r="172" s="97" customFormat="1"/>
    <row r="173" s="97" customFormat="1"/>
    <row r="174" s="97" customFormat="1"/>
    <row r="175" s="97" customFormat="1"/>
    <row r="176" s="97" customFormat="1"/>
    <row r="177" s="97" customFormat="1"/>
    <row r="178" s="97" customFormat="1"/>
    <row r="179" s="97" customFormat="1"/>
    <row r="180" s="97" customFormat="1"/>
    <row r="181" s="97" customFormat="1"/>
    <row r="182" s="97" customFormat="1"/>
    <row r="183" s="97" customFormat="1"/>
    <row r="184" s="97" customFormat="1"/>
    <row r="185" s="97" customFormat="1"/>
    <row r="186" s="97" customFormat="1"/>
    <row r="187" s="97" customFormat="1"/>
    <row r="188" s="97" customFormat="1"/>
    <row r="189" s="97" customFormat="1"/>
    <row r="190" s="97" customFormat="1"/>
    <row r="191" s="97" customFormat="1"/>
    <row r="192" s="97" customFormat="1"/>
    <row r="193" s="97" customFormat="1"/>
    <row r="194" s="97" customFormat="1"/>
    <row r="195" s="97" customFormat="1"/>
    <row r="196" s="97" customFormat="1"/>
    <row r="197" s="97" customFormat="1"/>
    <row r="198" s="97" customFormat="1"/>
    <row r="199" s="97" customFormat="1"/>
    <row r="200" s="97" customFormat="1"/>
    <row r="201" s="97" customFormat="1"/>
    <row r="202" s="97" customFormat="1"/>
    <row r="203" s="97" customFormat="1"/>
    <row r="204" s="97" customFormat="1"/>
    <row r="205" s="97" customFormat="1"/>
    <row r="206" s="97" customFormat="1"/>
    <row r="207" s="97" customFormat="1"/>
    <row r="208" s="97" customFormat="1"/>
    <row r="209" s="97" customFormat="1"/>
    <row r="210" s="97" customFormat="1"/>
    <row r="211" s="97" customFormat="1"/>
    <row r="212" s="97" customFormat="1"/>
    <row r="213" s="97" customFormat="1"/>
    <row r="214" s="97" customFormat="1"/>
    <row r="215" s="97" customFormat="1"/>
    <row r="216" s="97" customFormat="1"/>
    <row r="217" s="97" customFormat="1"/>
    <row r="218" s="97" customFormat="1"/>
    <row r="219" s="97" customFormat="1"/>
    <row r="220" s="97" customFormat="1"/>
    <row r="221" s="97" customFormat="1"/>
    <row r="222" s="97" customFormat="1"/>
    <row r="223" s="97" customFormat="1"/>
    <row r="224" s="97" customFormat="1"/>
    <row r="225" s="97" customFormat="1"/>
    <row r="226" s="97" customFormat="1"/>
    <row r="227" s="97" customFormat="1"/>
    <row r="228" s="97" customFormat="1"/>
    <row r="229" s="97" customFormat="1"/>
    <row r="230" s="97" customFormat="1"/>
    <row r="231" s="97" customFormat="1"/>
    <row r="232" s="97" customFormat="1"/>
    <row r="233" s="97" customFormat="1"/>
    <row r="234" s="97" customFormat="1"/>
    <row r="235" s="97" customFormat="1"/>
    <row r="236" s="97" customFormat="1"/>
    <row r="237" s="97" customFormat="1"/>
    <row r="238" s="97" customFormat="1"/>
    <row r="239" s="97" customFormat="1"/>
    <row r="240" s="97" customFormat="1"/>
    <row r="241" s="97" customFormat="1"/>
    <row r="242" s="97" customFormat="1"/>
    <row r="243" s="97" customFormat="1"/>
    <row r="244" s="97" customFormat="1"/>
    <row r="245" s="97" customFormat="1"/>
    <row r="246" s="97" customFormat="1"/>
    <row r="247" s="97" customFormat="1"/>
    <row r="248" s="97" customFormat="1"/>
    <row r="249" s="97" customFormat="1"/>
    <row r="250" s="97" customFormat="1"/>
    <row r="251" s="97" customFormat="1"/>
    <row r="252" s="97" customFormat="1"/>
    <row r="253" s="97" customFormat="1"/>
    <row r="254" s="97" customFormat="1"/>
    <row r="255" s="97" customFormat="1"/>
    <row r="256" s="97" customFormat="1"/>
  </sheetData>
  <sheetProtection sheet="1" objects="1" scenarios="1"/>
  <mergeCells count="1">
    <mergeCell ref="C2:F5"/>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4BAF1-E83E-4AB6-93CB-52D2C2D60400}">
  <sheetPr codeName="Sheet12"/>
  <dimension ref="A1:CV182"/>
  <sheetViews>
    <sheetView topLeftCell="A8" zoomScale="120" zoomScaleNormal="120" workbookViewId="0">
      <selection activeCell="A12" sqref="A12"/>
    </sheetView>
  </sheetViews>
  <sheetFormatPr defaultRowHeight="15.75"/>
  <cols>
    <col min="1" max="1" width="93.625" customWidth="1"/>
    <col min="2" max="100" width="9" style="97"/>
  </cols>
  <sheetData>
    <row r="1" spans="1:8">
      <c r="A1" s="102" t="str">
        <f>'Lean Canvas'!B48</f>
        <v>Cost Structure</v>
      </c>
    </row>
    <row r="2" spans="1:8" ht="57.75" customHeight="1">
      <c r="A2" s="165" t="s">
        <v>68</v>
      </c>
      <c r="C2" s="632" t="s">
        <v>69</v>
      </c>
      <c r="D2" s="633"/>
      <c r="E2" s="634"/>
    </row>
    <row r="3" spans="1:8" ht="13.5" customHeight="1">
      <c r="A3" s="110"/>
    </row>
    <row r="4" spans="1:8">
      <c r="A4" s="100" t="s">
        <v>70</v>
      </c>
      <c r="C4" s="518">
        <f>'Lean Canvas'!B50</f>
        <v>0</v>
      </c>
      <c r="D4" s="518"/>
      <c r="E4" s="518"/>
      <c r="F4" s="518"/>
      <c r="G4" s="518"/>
      <c r="H4" s="518"/>
    </row>
    <row r="5" spans="1:8" ht="70.5" customHeight="1">
      <c r="A5" s="110"/>
      <c r="C5" s="518"/>
      <c r="D5" s="518"/>
      <c r="E5" s="518"/>
      <c r="F5" s="518"/>
      <c r="G5" s="518"/>
      <c r="H5" s="518"/>
    </row>
    <row r="6" spans="1:8">
      <c r="A6" s="100" t="s">
        <v>71</v>
      </c>
      <c r="C6" s="518"/>
      <c r="D6" s="518"/>
      <c r="E6" s="518"/>
      <c r="F6" s="518"/>
      <c r="G6" s="518"/>
      <c r="H6" s="518"/>
    </row>
    <row r="7" spans="1:8" ht="70.5" customHeight="1">
      <c r="A7" s="110"/>
    </row>
    <row r="8" spans="1:8">
      <c r="A8" s="100" t="s">
        <v>72</v>
      </c>
    </row>
    <row r="9" spans="1:8" ht="70.5" customHeight="1">
      <c r="A9" s="110"/>
      <c r="D9" s="606" t="s">
        <v>25</v>
      </c>
      <c r="E9" s="607"/>
    </row>
    <row r="10" spans="1:8" ht="31.5">
      <c r="A10" s="103" t="s">
        <v>73</v>
      </c>
    </row>
    <row r="11" spans="1:8" ht="70.5" customHeight="1">
      <c r="A11" s="110"/>
    </row>
    <row r="12" spans="1:8" ht="31.5">
      <c r="A12" s="458" t="s">
        <v>74</v>
      </c>
    </row>
    <row r="13" spans="1:8" ht="70.5" customHeight="1">
      <c r="A13" s="110"/>
    </row>
    <row r="14" spans="1:8" s="97" customFormat="1"/>
    <row r="15" spans="1:8" s="97" customFormat="1"/>
    <row r="16" spans="1:8" s="97" customFormat="1"/>
    <row r="17" s="97" customFormat="1"/>
    <row r="18" s="97" customFormat="1"/>
    <row r="19" s="97" customFormat="1"/>
    <row r="20" s="97" customFormat="1"/>
    <row r="21" s="97" customFormat="1"/>
    <row r="22" s="97" customFormat="1"/>
    <row r="23" s="97" customFormat="1"/>
    <row r="24" s="97" customFormat="1"/>
    <row r="25" s="97" customFormat="1"/>
    <row r="26" s="97" customFormat="1"/>
    <row r="27" s="97" customFormat="1"/>
    <row r="28" s="97" customFormat="1"/>
    <row r="29" s="97" customFormat="1"/>
    <row r="30" s="97" customFormat="1"/>
    <row r="31" s="97" customFormat="1"/>
    <row r="32" s="97" customFormat="1"/>
    <row r="33" s="97" customFormat="1"/>
    <row r="34" s="97" customFormat="1"/>
    <row r="35" s="97" customFormat="1"/>
    <row r="36" s="97" customFormat="1"/>
    <row r="37" s="97" customFormat="1"/>
    <row r="38" s="97" customFormat="1"/>
    <row r="39" s="97" customFormat="1"/>
    <row r="40" s="97" customFormat="1"/>
    <row r="41" s="97" customFormat="1"/>
    <row r="42" s="97" customFormat="1"/>
    <row r="43" s="97" customFormat="1"/>
    <row r="44" s="97" customFormat="1"/>
    <row r="45" s="97" customFormat="1"/>
    <row r="46" s="97" customFormat="1"/>
    <row r="47" s="97" customFormat="1"/>
    <row r="48" s="97" customFormat="1"/>
    <row r="49" s="97" customFormat="1"/>
    <row r="50" s="97" customFormat="1"/>
    <row r="51" s="97" customFormat="1"/>
    <row r="52" s="97" customFormat="1"/>
    <row r="53" s="97" customFormat="1"/>
    <row r="54" s="97" customFormat="1"/>
    <row r="55" s="97" customFormat="1"/>
    <row r="56" s="97" customFormat="1"/>
    <row r="57" s="97" customFormat="1"/>
    <row r="58" s="97" customFormat="1"/>
    <row r="59" s="97" customFormat="1"/>
    <row r="60" s="97" customFormat="1"/>
    <row r="61" s="97" customFormat="1"/>
    <row r="62" s="97" customFormat="1"/>
    <row r="63" s="97" customFormat="1"/>
    <row r="64" s="97" customFormat="1"/>
    <row r="65" s="97" customFormat="1"/>
    <row r="66" s="97" customFormat="1"/>
    <row r="67" s="97" customFormat="1"/>
    <row r="68" s="97" customFormat="1"/>
    <row r="69" s="97" customFormat="1"/>
    <row r="70" s="97" customFormat="1"/>
    <row r="71" s="97" customFormat="1"/>
    <row r="72" s="97" customFormat="1"/>
    <row r="73" s="97" customFormat="1"/>
    <row r="74" s="97" customFormat="1"/>
    <row r="75" s="97" customFormat="1"/>
    <row r="76" s="97" customFormat="1"/>
    <row r="77" s="97" customFormat="1"/>
    <row r="78" s="97" customFormat="1"/>
    <row r="79" s="97" customFormat="1"/>
    <row r="80" s="97" customFormat="1"/>
    <row r="81" s="97" customFormat="1"/>
    <row r="82" s="97" customFormat="1"/>
    <row r="83" s="97" customFormat="1"/>
    <row r="84" s="97" customFormat="1"/>
    <row r="85" s="97" customFormat="1"/>
    <row r="86" s="97" customFormat="1"/>
    <row r="87" s="97" customFormat="1"/>
    <row r="88" s="97" customFormat="1"/>
    <row r="89" s="97" customFormat="1"/>
    <row r="90" s="97" customFormat="1"/>
    <row r="91" s="97" customFormat="1"/>
    <row r="92" s="97" customFormat="1"/>
    <row r="93" s="97" customFormat="1"/>
    <row r="94" s="97" customFormat="1"/>
    <row r="95" s="97" customFormat="1"/>
    <row r="96" s="97" customFormat="1"/>
    <row r="97" s="97" customFormat="1"/>
    <row r="98" s="97" customFormat="1"/>
    <row r="99" s="97" customFormat="1"/>
    <row r="100" s="97" customFormat="1"/>
    <row r="101" s="97" customFormat="1"/>
    <row r="102" s="97" customFormat="1"/>
    <row r="103" s="97" customFormat="1"/>
    <row r="104" s="97" customFormat="1"/>
    <row r="105" s="97" customFormat="1"/>
    <row r="106" s="97" customFormat="1"/>
    <row r="107" s="97" customFormat="1"/>
    <row r="108" s="97" customFormat="1"/>
    <row r="109" s="97" customFormat="1"/>
    <row r="110" s="97" customFormat="1"/>
    <row r="111" s="97" customFormat="1"/>
    <row r="112" s="97" customFormat="1"/>
    <row r="113" s="97" customFormat="1"/>
    <row r="114" s="97" customFormat="1"/>
    <row r="115" s="97" customFormat="1"/>
    <row r="116" s="97" customFormat="1"/>
    <row r="117" s="97" customFormat="1"/>
    <row r="118" s="97" customFormat="1"/>
    <row r="119" s="97" customFormat="1"/>
    <row r="120" s="97" customFormat="1"/>
    <row r="121" s="97" customFormat="1"/>
    <row r="122" s="97" customFormat="1"/>
    <row r="123" s="97" customFormat="1"/>
    <row r="124" s="97" customFormat="1"/>
    <row r="125" s="97" customFormat="1"/>
    <row r="126" s="97" customFormat="1"/>
    <row r="127" s="97" customFormat="1"/>
    <row r="128" s="97" customFormat="1"/>
    <row r="129" s="97" customFormat="1"/>
    <row r="130" s="97" customFormat="1"/>
    <row r="131" s="97" customFormat="1"/>
    <row r="132" s="97" customFormat="1"/>
    <row r="133" s="97" customFormat="1"/>
    <row r="134" s="97" customFormat="1"/>
    <row r="135" s="97" customFormat="1"/>
    <row r="136" s="97" customFormat="1"/>
    <row r="137" s="97" customFormat="1"/>
    <row r="138" s="97" customFormat="1"/>
    <row r="139" s="97" customFormat="1"/>
    <row r="140" s="97" customFormat="1"/>
    <row r="141" s="97" customFormat="1"/>
    <row r="142" s="97" customFormat="1"/>
    <row r="143" s="97" customFormat="1"/>
    <row r="144" s="97" customFormat="1"/>
    <row r="145" s="97" customFormat="1"/>
    <row r="146" s="97" customFormat="1"/>
    <row r="147" s="97" customFormat="1"/>
    <row r="148" s="97" customFormat="1"/>
    <row r="149" s="97" customFormat="1"/>
    <row r="150" s="97" customFormat="1"/>
    <row r="151" s="97" customFormat="1"/>
    <row r="152" s="97" customFormat="1"/>
    <row r="153" s="97" customFormat="1"/>
    <row r="154" s="97" customFormat="1"/>
    <row r="155" s="97" customFormat="1"/>
    <row r="156" s="97" customFormat="1"/>
    <row r="157" s="97" customFormat="1"/>
    <row r="158" s="97" customFormat="1"/>
    <row r="159" s="97" customFormat="1"/>
    <row r="160" s="97" customFormat="1"/>
    <row r="161" s="97" customFormat="1"/>
    <row r="162" s="97" customFormat="1"/>
    <row r="163" s="97" customFormat="1"/>
    <row r="164" s="97" customFormat="1"/>
    <row r="165" s="97" customFormat="1"/>
    <row r="166" s="97" customFormat="1"/>
    <row r="167" s="97" customFormat="1"/>
    <row r="168" s="97" customFormat="1"/>
    <row r="169" s="97" customFormat="1"/>
    <row r="170" s="97" customFormat="1"/>
    <row r="171" s="97" customFormat="1"/>
    <row r="172" s="97" customFormat="1"/>
    <row r="173" s="97" customFormat="1"/>
    <row r="174" s="97" customFormat="1"/>
    <row r="175" s="97" customFormat="1"/>
    <row r="176" s="97" customFormat="1"/>
    <row r="177" s="97" customFormat="1"/>
    <row r="178" s="97" customFormat="1"/>
    <row r="179" s="97" customFormat="1"/>
    <row r="180" s="97" customFormat="1"/>
    <row r="181" s="97" customFormat="1"/>
    <row r="182" s="97" customFormat="1"/>
  </sheetData>
  <sheetProtection sheet="1" objects="1" scenarios="1"/>
  <mergeCells count="3">
    <mergeCell ref="C2:E2"/>
    <mergeCell ref="C4:H6"/>
    <mergeCell ref="D9:E9"/>
  </mergeCells>
  <hyperlinks>
    <hyperlink ref="C2" location="'Startup-Costs'!A1" display="GoTo Investment Planning" xr:uid="{20737AF4-9968-4389-9FD4-5654D1BE6099}"/>
    <hyperlink ref="C2:E2" location="'Startup-Costs'!C7" display="GoTo Investment Planning" xr:uid="{9221448A-95BF-4D62-A3ED-903ED9579913}"/>
    <hyperlink ref="D9" location="'Lean Canvas'!A1" display="Back Lean Canvas" xr:uid="{2837807F-2BF2-451B-8FF4-9983B40AE72B}"/>
  </hyperlinks>
  <pageMargins left="0.7" right="0.7" top="0.75" bottom="0.75" header="0.3" footer="0.3"/>
  <pageSetup orientation="portrait" horizontalDpi="4294967293" verticalDpi="4294967293" r:id="rId1"/>
  <rowBreaks count="1" manualBreakCount="1">
    <brk id="7"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7CA6A-30C0-48BE-BFA4-AA238F0F427C}">
  <sheetPr codeName="Sheet15"/>
  <dimension ref="A2:G121"/>
  <sheetViews>
    <sheetView zoomScaleNormal="100" workbookViewId="0">
      <selection activeCell="C7" sqref="C7"/>
    </sheetView>
  </sheetViews>
  <sheetFormatPr defaultColWidth="9" defaultRowHeight="15.75"/>
  <cols>
    <col min="1" max="1" width="39.75" style="199" customWidth="1"/>
    <col min="2" max="2" width="33.125" style="199" customWidth="1"/>
    <col min="3" max="3" width="18.125" style="199" bestFit="1" customWidth="1"/>
    <col min="4" max="4" width="15.5" style="97" customWidth="1"/>
    <col min="5" max="5" width="17.625" style="206" customWidth="1"/>
    <col min="6" max="7" width="16.875" style="206" bestFit="1" customWidth="1"/>
    <col min="8" max="16384" width="9" style="97"/>
  </cols>
  <sheetData>
    <row r="2" spans="1:7">
      <c r="A2" s="172" t="s">
        <v>75</v>
      </c>
      <c r="B2" s="637" t="str">
        <f>'Lean Canvas'!J4</f>
        <v xml:space="preserve"> </v>
      </c>
      <c r="C2" s="638"/>
    </row>
    <row r="3" spans="1:7" ht="170.25" customHeight="1">
      <c r="A3" s="639" t="s">
        <v>76</v>
      </c>
      <c r="B3" s="642"/>
      <c r="C3" s="643"/>
    </row>
    <row r="4" spans="1:7">
      <c r="A4" s="173"/>
      <c r="B4" s="174"/>
      <c r="C4" s="174"/>
    </row>
    <row r="5" spans="1:7" ht="19.5">
      <c r="A5" s="200" t="s">
        <v>77</v>
      </c>
      <c r="B5" s="172"/>
      <c r="C5" s="172"/>
    </row>
    <row r="6" spans="1:7" ht="24.75" thickBot="1">
      <c r="A6" s="175" t="s">
        <v>78</v>
      </c>
      <c r="B6" s="175" t="s">
        <v>6</v>
      </c>
      <c r="C6" s="176" t="s">
        <v>79</v>
      </c>
      <c r="D6" s="205" t="s">
        <v>80</v>
      </c>
      <c r="E6" s="207" t="s">
        <v>81</v>
      </c>
      <c r="F6" s="207" t="s">
        <v>82</v>
      </c>
      <c r="G6" s="207" t="s">
        <v>83</v>
      </c>
    </row>
    <row r="7" spans="1:7" ht="16.5" thickTop="1">
      <c r="A7" s="177" t="s">
        <v>84</v>
      </c>
      <c r="B7" s="178"/>
      <c r="C7" s="157">
        <v>0</v>
      </c>
      <c r="D7" s="203">
        <v>0</v>
      </c>
      <c r="E7" s="179">
        <f>IF(RealEstate[[#This Row],[AMOUNT]]&gt;0,RealEstate[[#This Row],[AMOUNT]]-RealEstate[[#This Row],[AMOUNT]]/RealEstate[[#This Row],[DEPRECIATION PERIOD IN YEARS]],0)</f>
        <v>0</v>
      </c>
      <c r="F7" s="179">
        <f>IF(RealEstate[[#This Row],[DEPRECIATION PERIOD IN YEARS]]&gt;1,RealEstate[[#This Row],[YEAR 1]]-RealEstate[[#This Row],[AMOUNT]]/RealEstate[[#This Row],[DEPRECIATION PERIOD IN YEARS]],0)</f>
        <v>0</v>
      </c>
      <c r="G7" s="179">
        <f>IF(RealEstate[[#This Row],[DEPRECIATION PERIOD IN YEARS]]&gt;2,RealEstate[[#This Row],[YEAR 2]]-RealEstate[[#This Row],[AMOUNT]]/RealEstate[[#This Row],[DEPRECIATION PERIOD IN YEARS]],0)</f>
        <v>0</v>
      </c>
    </row>
    <row r="8" spans="1:7">
      <c r="A8" s="177" t="s">
        <v>85</v>
      </c>
      <c r="B8" s="178"/>
      <c r="C8" s="157">
        <v>0</v>
      </c>
      <c r="D8" s="204">
        <v>0</v>
      </c>
      <c r="E8" s="179">
        <f>IF(RealEstate[[#This Row],[AMOUNT]]&gt;0,RealEstate[[#This Row],[AMOUNT]]-RealEstate[[#This Row],[AMOUNT]]/RealEstate[[#This Row],[DEPRECIATION PERIOD IN YEARS]],0)</f>
        <v>0</v>
      </c>
      <c r="F8" s="179">
        <f>IF(RealEstate[[#This Row],[DEPRECIATION PERIOD IN YEARS]]&gt;1,RealEstate[[#This Row],[YEAR 1]]-RealEstate[[#This Row],[AMOUNT]]/RealEstate[[#This Row],[DEPRECIATION PERIOD IN YEARS]],0)</f>
        <v>0</v>
      </c>
      <c r="G8" s="179">
        <f>IF(RealEstate[[#This Row],[DEPRECIATION PERIOD IN YEARS]]&gt;2,RealEstate[[#This Row],[YEAR 2]]-RealEstate[[#This Row],[AMOUNT]]/RealEstate[[#This Row],[DEPRECIATION PERIOD IN YEARS]],0)</f>
        <v>0</v>
      </c>
    </row>
    <row r="9" spans="1:7">
      <c r="A9" s="177" t="s">
        <v>86</v>
      </c>
      <c r="B9" s="178"/>
      <c r="C9" s="157">
        <v>0</v>
      </c>
      <c r="D9" s="203">
        <v>0</v>
      </c>
      <c r="E9" s="179">
        <f>IF(RealEstate[[#This Row],[AMOUNT]]&gt;0,RealEstate[[#This Row],[AMOUNT]]-RealEstate[[#This Row],[AMOUNT]]/RealEstate[[#This Row],[DEPRECIATION PERIOD IN YEARS]],0)</f>
        <v>0</v>
      </c>
      <c r="F9" s="179">
        <f>IF(RealEstate[[#This Row],[DEPRECIATION PERIOD IN YEARS]]&gt;1,RealEstate[[#This Row],[YEAR 1]]-RealEstate[[#This Row],[AMOUNT]]/RealEstate[[#This Row],[DEPRECIATION PERIOD IN YEARS]],0)</f>
        <v>0</v>
      </c>
      <c r="G9" s="179">
        <f>IF(RealEstate[[#This Row],[DEPRECIATION PERIOD IN YEARS]]&gt;2,RealEstate[[#This Row],[YEAR 2]]-RealEstate[[#This Row],[AMOUNT]]/RealEstate[[#This Row],[DEPRECIATION PERIOD IN YEARS]],0)</f>
        <v>0</v>
      </c>
    </row>
    <row r="10" spans="1:7">
      <c r="A10" s="177" t="s">
        <v>87</v>
      </c>
      <c r="B10" s="178"/>
      <c r="C10" s="157">
        <v>0</v>
      </c>
      <c r="D10" s="204">
        <v>0</v>
      </c>
      <c r="E10" s="179">
        <f>IF(RealEstate[[#This Row],[AMOUNT]]&gt;0,RealEstate[[#This Row],[AMOUNT]]-RealEstate[[#This Row],[AMOUNT]]/RealEstate[[#This Row],[DEPRECIATION PERIOD IN YEARS]],0)</f>
        <v>0</v>
      </c>
      <c r="F10" s="179">
        <f>IF(RealEstate[[#This Row],[DEPRECIATION PERIOD IN YEARS]]&gt;1,RealEstate[[#This Row],[YEAR 1]]-RealEstate[[#This Row],[AMOUNT]]/RealEstate[[#This Row],[DEPRECIATION PERIOD IN YEARS]],0)</f>
        <v>0</v>
      </c>
      <c r="G10" s="179">
        <f>IF(RealEstate[[#This Row],[DEPRECIATION PERIOD IN YEARS]]&gt;2,RealEstate[[#This Row],[YEAR 2]]-RealEstate[[#This Row],[AMOUNT]]/RealEstate[[#This Row],[DEPRECIATION PERIOD IN YEARS]],0)</f>
        <v>0</v>
      </c>
    </row>
    <row r="11" spans="1:7">
      <c r="A11" s="177" t="s">
        <v>88</v>
      </c>
      <c r="B11" s="178"/>
      <c r="C11" s="179">
        <f>SUBTOTAL(109,RealEstate[AMOUNT])</f>
        <v>0</v>
      </c>
      <c r="D11"/>
      <c r="E11" s="179">
        <f>SUBTOTAL(109,RealEstate[YEAR 1])</f>
        <v>0</v>
      </c>
      <c r="F11" s="179">
        <f>SUBTOTAL(109,RealEstate[YEAR 2])</f>
        <v>0</v>
      </c>
      <c r="G11" s="179">
        <f>SUBTOTAL(109,RealEstate[YEAR 3])</f>
        <v>0</v>
      </c>
    </row>
    <row r="12" spans="1:7">
      <c r="A12" s="635"/>
      <c r="B12" s="635"/>
      <c r="C12" s="635"/>
    </row>
    <row r="13" spans="1:7" ht="16.5" thickBot="1">
      <c r="A13" s="175" t="s">
        <v>89</v>
      </c>
      <c r="B13" s="175" t="s">
        <v>6</v>
      </c>
      <c r="C13" s="176" t="s">
        <v>79</v>
      </c>
    </row>
    <row r="14" spans="1:7" ht="16.5" thickTop="1">
      <c r="A14" s="177" t="s">
        <v>90</v>
      </c>
      <c r="B14" s="178"/>
      <c r="C14" s="157">
        <v>0</v>
      </c>
    </row>
    <row r="15" spans="1:7">
      <c r="A15" s="158" t="s">
        <v>91</v>
      </c>
      <c r="B15" s="178"/>
      <c r="C15" s="157">
        <v>0</v>
      </c>
    </row>
    <row r="16" spans="1:7">
      <c r="A16" s="158" t="s">
        <v>92</v>
      </c>
      <c r="B16" s="178"/>
      <c r="C16" s="157">
        <v>0</v>
      </c>
    </row>
    <row r="17" spans="1:7">
      <c r="A17" s="158" t="s">
        <v>93</v>
      </c>
      <c r="B17" s="178"/>
      <c r="C17" s="157">
        <v>0</v>
      </c>
    </row>
    <row r="18" spans="1:7">
      <c r="A18" s="177" t="s">
        <v>88</v>
      </c>
      <c r="B18" s="178"/>
      <c r="C18" s="179">
        <f>SUBTOTAL(109,Improvements[AMOUNT])</f>
        <v>0</v>
      </c>
    </row>
    <row r="19" spans="1:7">
      <c r="A19" s="635"/>
      <c r="B19" s="635"/>
      <c r="C19" s="635"/>
    </row>
    <row r="20" spans="1:7" ht="24.75" thickBot="1">
      <c r="A20" s="175" t="s">
        <v>94</v>
      </c>
      <c r="B20" s="175" t="s">
        <v>6</v>
      </c>
      <c r="C20" s="176" t="s">
        <v>79</v>
      </c>
      <c r="D20" s="205" t="s">
        <v>80</v>
      </c>
      <c r="E20" s="176" t="s">
        <v>81</v>
      </c>
      <c r="F20" s="176" t="s">
        <v>82</v>
      </c>
      <c r="G20" s="176" t="s">
        <v>83</v>
      </c>
    </row>
    <row r="21" spans="1:7" ht="16.5" thickTop="1">
      <c r="A21" s="177" t="s">
        <v>95</v>
      </c>
      <c r="B21" s="178"/>
      <c r="C21" s="157">
        <v>0</v>
      </c>
      <c r="D21" s="203">
        <v>0</v>
      </c>
      <c r="E21" s="179">
        <f>IF(Capital[[#This Row],[AMOUNT]]&gt;0,Capital[[#This Row],[AMOUNT]]-Capital[[#This Row],[AMOUNT]]/Capital[[#This Row],[DEPRECIATION PERIOD IN YEARS]],0)</f>
        <v>0</v>
      </c>
      <c r="F21" s="179">
        <f>IF(Capital[[#This Row],[DEPRECIATION PERIOD IN YEARS]]&gt;1,Capital[[#This Row],[YEAR 1]]-Capital[[#This Row],[AMOUNT]]/Capital[[#This Row],[DEPRECIATION PERIOD IN YEARS]],0)</f>
        <v>0</v>
      </c>
      <c r="G21" s="179">
        <f>IF(Capital[[#This Row],[DEPRECIATION PERIOD IN YEARS]]&gt;2,Capital[[#This Row],[YEAR 2]]-Capital[[#This Row],[AMOUNT]]/Capital[[#This Row],[DEPRECIATION PERIOD IN YEARS]],0)</f>
        <v>0</v>
      </c>
    </row>
    <row r="22" spans="1:7">
      <c r="A22" s="177" t="s">
        <v>96</v>
      </c>
      <c r="B22" s="178"/>
      <c r="C22" s="157">
        <v>0</v>
      </c>
      <c r="D22" s="204">
        <v>0</v>
      </c>
      <c r="E22" s="179">
        <f>IF(Capital[[#This Row],[AMOUNT]]&gt;0,Capital[[#This Row],[AMOUNT]]-Capital[[#This Row],[AMOUNT]]/Capital[[#This Row],[DEPRECIATION PERIOD IN YEARS]],0)</f>
        <v>0</v>
      </c>
      <c r="F22" s="179">
        <f>IF(Capital[[#This Row],[DEPRECIATION PERIOD IN YEARS]]&gt;1,Capital[[#This Row],[YEAR 1]]-Capital[[#This Row],[AMOUNT]]/Capital[[#This Row],[DEPRECIATION PERIOD IN YEARS]],0)</f>
        <v>0</v>
      </c>
      <c r="G22" s="179">
        <f>IF(Capital[[#This Row],[DEPRECIATION PERIOD IN YEARS]]&gt;2,Capital[[#This Row],[YEAR 2]]-Capital[[#This Row],[AMOUNT]]/Capital[[#This Row],[DEPRECIATION PERIOD IN YEARS]],0)</f>
        <v>0</v>
      </c>
    </row>
    <row r="23" spans="1:7">
      <c r="A23" s="177" t="s">
        <v>97</v>
      </c>
      <c r="B23" s="178"/>
      <c r="C23" s="157">
        <v>0</v>
      </c>
      <c r="D23" s="203">
        <v>0</v>
      </c>
      <c r="E23" s="179">
        <f>IF(Capital[[#This Row],[AMOUNT]]&gt;0,Capital[[#This Row],[AMOUNT]]-Capital[[#This Row],[AMOUNT]]/Capital[[#This Row],[DEPRECIATION PERIOD IN YEARS]],0)</f>
        <v>0</v>
      </c>
      <c r="F23" s="179">
        <f>IF(Capital[[#This Row],[DEPRECIATION PERIOD IN YEARS]]&gt;1,Capital[[#This Row],[YEAR 1]]-Capital[[#This Row],[AMOUNT]]/Capital[[#This Row],[DEPRECIATION PERIOD IN YEARS]],0)</f>
        <v>0</v>
      </c>
      <c r="G23" s="179">
        <f>IF(Capital[[#This Row],[DEPRECIATION PERIOD IN YEARS]]&gt;2,Capital[[#This Row],[YEAR 2]]-Capital[[#This Row],[AMOUNT]]/Capital[[#This Row],[DEPRECIATION PERIOD IN YEARS]],0)</f>
        <v>0</v>
      </c>
    </row>
    <row r="24" spans="1:7">
      <c r="A24" s="177" t="s">
        <v>98</v>
      </c>
      <c r="B24" s="178"/>
      <c r="C24" s="157">
        <v>0</v>
      </c>
      <c r="D24" s="204">
        <v>0</v>
      </c>
      <c r="E24" s="179">
        <f>IF(Capital[[#This Row],[AMOUNT]]&gt;0,Capital[[#This Row],[AMOUNT]]-Capital[[#This Row],[AMOUNT]]/Capital[[#This Row],[DEPRECIATION PERIOD IN YEARS]],0)</f>
        <v>0</v>
      </c>
      <c r="F24" s="179">
        <f>IF(Capital[[#This Row],[DEPRECIATION PERIOD IN YEARS]]&gt;1,Capital[[#This Row],[YEAR 1]]-Capital[[#This Row],[AMOUNT]]/Capital[[#This Row],[DEPRECIATION PERIOD IN YEARS]],0)</f>
        <v>0</v>
      </c>
      <c r="G24" s="179">
        <f>IF(Capital[[#This Row],[DEPRECIATION PERIOD IN YEARS]]&gt;2,Capital[[#This Row],[YEAR 2]]-Capital[[#This Row],[AMOUNT]]/Capital[[#This Row],[DEPRECIATION PERIOD IN YEARS]],0)</f>
        <v>0</v>
      </c>
    </row>
    <row r="25" spans="1:7">
      <c r="A25" s="177" t="s">
        <v>87</v>
      </c>
      <c r="B25" s="178"/>
      <c r="C25" s="157">
        <v>0</v>
      </c>
      <c r="D25" s="203">
        <v>0</v>
      </c>
      <c r="E25" s="179">
        <f>IF(Capital[[#This Row],[AMOUNT]]&gt;0,Capital[[#This Row],[AMOUNT]]-Capital[[#This Row],[AMOUNT]]/Capital[[#This Row],[DEPRECIATION PERIOD IN YEARS]],0)</f>
        <v>0</v>
      </c>
      <c r="F25" s="179">
        <f>IF(Capital[[#This Row],[DEPRECIATION PERIOD IN YEARS]]&gt;1,Capital[[#This Row],[YEAR 1]]-Capital[[#This Row],[AMOUNT]]/Capital[[#This Row],[DEPRECIATION PERIOD IN YEARS]],0)</f>
        <v>0</v>
      </c>
      <c r="G25" s="179">
        <f>IF(Capital[[#This Row],[DEPRECIATION PERIOD IN YEARS]]&gt;2,Capital[[#This Row],[YEAR 2]]-Capital[[#This Row],[AMOUNT]]/Capital[[#This Row],[DEPRECIATION PERIOD IN YEARS]],0)</f>
        <v>0</v>
      </c>
    </row>
    <row r="26" spans="1:7">
      <c r="A26" s="177" t="s">
        <v>88</v>
      </c>
      <c r="B26" s="178"/>
      <c r="C26" s="179">
        <f>SUBTOTAL(109,Capital[AMOUNT])</f>
        <v>0</v>
      </c>
      <c r="D26" s="183"/>
      <c r="E26" s="179">
        <f>SUBTOTAL(109,Capital[YEAR 1])</f>
        <v>0</v>
      </c>
      <c r="F26" s="179">
        <f>SUBTOTAL(109,Capital[YEAR 2])</f>
        <v>0</v>
      </c>
      <c r="G26" s="179">
        <f>SUBTOTAL(109,Capital[YEAR 3])</f>
        <v>0</v>
      </c>
    </row>
    <row r="27" spans="1:7">
      <c r="A27" s="635"/>
      <c r="B27" s="635"/>
      <c r="C27" s="635"/>
    </row>
    <row r="28" spans="1:7" ht="16.5" thickBot="1">
      <c r="A28" s="175" t="s">
        <v>99</v>
      </c>
      <c r="B28" s="175" t="s">
        <v>6</v>
      </c>
      <c r="C28" s="176" t="s">
        <v>79</v>
      </c>
    </row>
    <row r="29" spans="1:7" ht="16.5" thickTop="1">
      <c r="A29" s="177" t="s">
        <v>100</v>
      </c>
      <c r="B29" s="178"/>
      <c r="C29" s="157">
        <v>0</v>
      </c>
    </row>
    <row r="30" spans="1:7">
      <c r="A30" s="177" t="s">
        <v>101</v>
      </c>
      <c r="B30" s="178"/>
      <c r="C30" s="157">
        <v>0</v>
      </c>
    </row>
    <row r="31" spans="1:7">
      <c r="A31" s="177" t="s">
        <v>102</v>
      </c>
      <c r="B31" s="178"/>
      <c r="C31" s="157">
        <v>0</v>
      </c>
    </row>
    <row r="32" spans="1:7">
      <c r="A32" s="177" t="s">
        <v>103</v>
      </c>
      <c r="B32" s="178"/>
      <c r="C32" s="157">
        <v>0</v>
      </c>
    </row>
    <row r="33" spans="1:3">
      <c r="A33" s="177" t="s">
        <v>104</v>
      </c>
      <c r="B33" s="178"/>
      <c r="C33" s="157">
        <v>0</v>
      </c>
    </row>
    <row r="34" spans="1:3">
      <c r="A34" s="177" t="s">
        <v>87</v>
      </c>
      <c r="B34" s="178"/>
      <c r="C34" s="157">
        <v>0</v>
      </c>
    </row>
    <row r="35" spans="1:3">
      <c r="A35" s="177" t="s">
        <v>88</v>
      </c>
      <c r="B35" s="178"/>
      <c r="C35" s="179">
        <f>SUBTOTAL(109,AdminExpenses[AMOUNT])</f>
        <v>0</v>
      </c>
    </row>
    <row r="36" spans="1:3">
      <c r="A36" s="635"/>
      <c r="B36" s="635"/>
      <c r="C36" s="635"/>
    </row>
    <row r="37" spans="1:3" ht="16.5" thickBot="1">
      <c r="A37" s="175" t="s">
        <v>105</v>
      </c>
      <c r="B37" s="175" t="s">
        <v>6</v>
      </c>
      <c r="C37" s="176" t="s">
        <v>79</v>
      </c>
    </row>
    <row r="38" spans="1:3" ht="16.5" thickTop="1">
      <c r="A38" s="158" t="s">
        <v>106</v>
      </c>
      <c r="B38" s="178"/>
      <c r="C38" s="157">
        <v>0</v>
      </c>
    </row>
    <row r="39" spans="1:3">
      <c r="A39" s="158" t="s">
        <v>107</v>
      </c>
      <c r="B39" s="178"/>
      <c r="C39" s="157">
        <v>0</v>
      </c>
    </row>
    <row r="40" spans="1:3">
      <c r="A40" s="158" t="s">
        <v>108</v>
      </c>
      <c r="B40" s="178"/>
      <c r="C40" s="157">
        <v>0</v>
      </c>
    </row>
    <row r="41" spans="1:3">
      <c r="A41" s="158" t="s">
        <v>109</v>
      </c>
      <c r="B41" s="178"/>
      <c r="C41" s="157">
        <v>0</v>
      </c>
    </row>
    <row r="42" spans="1:3">
      <c r="A42" s="158" t="s">
        <v>110</v>
      </c>
      <c r="B42" s="178"/>
      <c r="C42" s="157">
        <v>0</v>
      </c>
    </row>
    <row r="43" spans="1:3">
      <c r="A43" s="177" t="s">
        <v>88</v>
      </c>
      <c r="B43" s="178"/>
      <c r="C43" s="179">
        <f>SUBTOTAL(109,OpeningInventory[AMOUNT])</f>
        <v>0</v>
      </c>
    </row>
    <row r="44" spans="1:3">
      <c r="A44" s="635"/>
      <c r="B44" s="635"/>
      <c r="C44" s="635"/>
    </row>
    <row r="45" spans="1:3" ht="16.5" thickBot="1">
      <c r="A45" s="175" t="s">
        <v>111</v>
      </c>
      <c r="B45" s="175" t="s">
        <v>6</v>
      </c>
      <c r="C45" s="176" t="s">
        <v>79</v>
      </c>
    </row>
    <row r="46" spans="1:3" ht="16.5" thickTop="1">
      <c r="A46" s="177" t="s">
        <v>112</v>
      </c>
      <c r="B46" s="178"/>
      <c r="C46" s="157">
        <v>0</v>
      </c>
    </row>
    <row r="47" spans="1:3">
      <c r="A47" s="177" t="s">
        <v>113</v>
      </c>
      <c r="B47" s="178"/>
      <c r="C47" s="157">
        <v>0</v>
      </c>
    </row>
    <row r="48" spans="1:3">
      <c r="A48" s="177" t="s">
        <v>114</v>
      </c>
      <c r="B48" s="178"/>
      <c r="C48" s="157">
        <v>0</v>
      </c>
    </row>
    <row r="49" spans="1:4">
      <c r="A49" s="177" t="s">
        <v>115</v>
      </c>
      <c r="B49" s="178"/>
      <c r="C49" s="157">
        <v>0</v>
      </c>
    </row>
    <row r="50" spans="1:4">
      <c r="A50" s="177" t="s">
        <v>116</v>
      </c>
      <c r="B50" s="178"/>
      <c r="C50" s="157">
        <v>0</v>
      </c>
    </row>
    <row r="51" spans="1:4">
      <c r="A51" s="177" t="s">
        <v>88</v>
      </c>
      <c r="B51" s="178"/>
      <c r="C51" s="179">
        <f>SUBTOTAL(109,PromoExpenses[AMOUNT])</f>
        <v>0</v>
      </c>
    </row>
    <row r="52" spans="1:4">
      <c r="A52" s="635"/>
      <c r="B52" s="635"/>
      <c r="C52" s="635"/>
    </row>
    <row r="53" spans="1:4" ht="16.5" thickBot="1">
      <c r="A53" s="175" t="s">
        <v>117</v>
      </c>
      <c r="B53" s="175" t="s">
        <v>6</v>
      </c>
      <c r="C53" s="176" t="s">
        <v>79</v>
      </c>
    </row>
    <row r="54" spans="1:4" ht="16.5" thickTop="1">
      <c r="A54" s="158" t="s">
        <v>118</v>
      </c>
      <c r="B54" s="178"/>
      <c r="C54" s="157">
        <v>0</v>
      </c>
    </row>
    <row r="55" spans="1:4">
      <c r="A55" s="158" t="s">
        <v>118</v>
      </c>
      <c r="B55" s="178"/>
      <c r="C55" s="157">
        <v>0</v>
      </c>
    </row>
    <row r="56" spans="1:4">
      <c r="A56" s="177" t="s">
        <v>88</v>
      </c>
      <c r="B56" s="178"/>
      <c r="C56" s="179">
        <f>SUBTOTAL(109,OtherExpenses[AMOUNT])</f>
        <v>0</v>
      </c>
    </row>
    <row r="57" spans="1:4">
      <c r="A57" s="635"/>
      <c r="B57" s="635"/>
      <c r="C57" s="635"/>
    </row>
    <row r="58" spans="1:4" ht="16.5" thickBot="1">
      <c r="A58" s="180" t="s">
        <v>119</v>
      </c>
      <c r="B58" s="181"/>
      <c r="C58" s="166">
        <v>0</v>
      </c>
    </row>
    <row r="59" spans="1:4" ht="16.5" thickBot="1">
      <c r="A59" s="635"/>
      <c r="B59" s="635"/>
      <c r="C59" s="635"/>
      <c r="D59" s="209" t="s">
        <v>120</v>
      </c>
    </row>
    <row r="60" spans="1:4" ht="16.5" thickTop="1">
      <c r="A60" s="180" t="s">
        <v>121</v>
      </c>
      <c r="B60" s="181"/>
      <c r="C60" s="166">
        <v>0</v>
      </c>
      <c r="D60" s="222">
        <v>0.1</v>
      </c>
    </row>
    <row r="61" spans="1:4">
      <c r="A61" s="635"/>
      <c r="B61" s="635"/>
      <c r="C61" s="635"/>
    </row>
    <row r="62" spans="1:4" ht="16.5" thickBot="1">
      <c r="A62" s="175" t="s">
        <v>77</v>
      </c>
      <c r="B62" s="175" t="s">
        <v>6</v>
      </c>
      <c r="C62" s="176" t="s">
        <v>122</v>
      </c>
    </row>
    <row r="63" spans="1:4" ht="16.5" thickTop="1">
      <c r="A63" s="177" t="s">
        <v>123</v>
      </c>
      <c r="B63" s="178"/>
      <c r="C63" s="179">
        <f>RealEstate[[#Totals],[AMOUNT]]</f>
        <v>0</v>
      </c>
    </row>
    <row r="64" spans="1:4">
      <c r="A64" s="177" t="s">
        <v>124</v>
      </c>
      <c r="B64" s="178"/>
      <c r="C64" s="179">
        <f>Improvements[[#Totals],[AMOUNT]]</f>
        <v>0</v>
      </c>
    </row>
    <row r="65" spans="1:3">
      <c r="A65" s="177" t="s">
        <v>125</v>
      </c>
      <c r="B65" s="178"/>
      <c r="C65" s="179">
        <f>Capital[[#Totals],[AMOUNT]]</f>
        <v>0</v>
      </c>
    </row>
    <row r="66" spans="1:3">
      <c r="A66" s="177" t="s">
        <v>126</v>
      </c>
      <c r="B66" s="178"/>
      <c r="C66" s="179">
        <f>AdminExpenses[[#Totals],[AMOUNT]]</f>
        <v>0</v>
      </c>
    </row>
    <row r="67" spans="1:3">
      <c r="A67" s="177" t="s">
        <v>127</v>
      </c>
      <c r="B67" s="178"/>
      <c r="C67" s="179">
        <f>OpeningInventory[[#Totals],[AMOUNT]]</f>
        <v>0</v>
      </c>
    </row>
    <row r="68" spans="1:3">
      <c r="A68" s="177" t="s">
        <v>128</v>
      </c>
      <c r="B68" s="178"/>
      <c r="C68" s="179">
        <f>PromoExpenses[[#Totals],[AMOUNT]]</f>
        <v>0</v>
      </c>
    </row>
    <row r="69" spans="1:3">
      <c r="A69" s="177" t="s">
        <v>129</v>
      </c>
      <c r="B69" s="178"/>
      <c r="C69" s="179">
        <f>OtherExpenses[[#Totals],[AMOUNT]]</f>
        <v>0</v>
      </c>
    </row>
    <row r="70" spans="1:3">
      <c r="A70" s="177" t="s">
        <v>130</v>
      </c>
      <c r="B70" s="178"/>
      <c r="C70" s="179">
        <f>C58</f>
        <v>0</v>
      </c>
    </row>
    <row r="71" spans="1:3">
      <c r="A71" s="177" t="s">
        <v>88</v>
      </c>
      <c r="B71" s="178"/>
      <c r="C71" s="179">
        <f>SUBTOTAL(109,StartupExpenses[TOTALS])</f>
        <v>0</v>
      </c>
    </row>
    <row r="72" spans="1:3">
      <c r="A72" s="407"/>
      <c r="B72" s="407"/>
      <c r="C72" s="407"/>
    </row>
    <row r="73" spans="1:3" ht="75" customHeight="1">
      <c r="A73" s="639" t="s">
        <v>131</v>
      </c>
      <c r="B73" s="640"/>
      <c r="C73" s="641"/>
    </row>
    <row r="74" spans="1:3">
      <c r="A74" s="173"/>
      <c r="B74" s="173"/>
      <c r="C74" s="173"/>
    </row>
    <row r="75" spans="1:3" ht="19.5">
      <c r="A75" s="200" t="s">
        <v>132</v>
      </c>
      <c r="B75" s="172"/>
      <c r="C75" s="172"/>
    </row>
    <row r="76" spans="1:3" ht="16.5" thickBot="1">
      <c r="A76" s="175" t="s">
        <v>133</v>
      </c>
      <c r="B76" s="175" t="s">
        <v>6</v>
      </c>
      <c r="C76" s="176" t="s">
        <v>79</v>
      </c>
    </row>
    <row r="77" spans="1:3" ht="16.5" thickTop="1">
      <c r="A77" s="158" t="s">
        <v>134</v>
      </c>
      <c r="B77" s="178"/>
      <c r="C77" s="157">
        <v>0</v>
      </c>
    </row>
    <row r="78" spans="1:3">
      <c r="A78" s="158" t="s">
        <v>135</v>
      </c>
      <c r="B78" s="178"/>
      <c r="C78" s="157">
        <v>0</v>
      </c>
    </row>
    <row r="79" spans="1:3">
      <c r="A79" s="158" t="s">
        <v>135</v>
      </c>
      <c r="B79" s="178"/>
      <c r="C79" s="157">
        <v>0</v>
      </c>
    </row>
    <row r="80" spans="1:3">
      <c r="A80" s="158" t="s">
        <v>135</v>
      </c>
      <c r="B80" s="178"/>
      <c r="C80" s="157">
        <v>0</v>
      </c>
    </row>
    <row r="81" spans="1:7">
      <c r="A81" s="177" t="s">
        <v>88</v>
      </c>
      <c r="B81" s="178"/>
      <c r="C81" s="179">
        <f>SUBTOTAL(109,OwnersInvestments[AMOUNT])</f>
        <v>0</v>
      </c>
    </row>
    <row r="82" spans="1:7">
      <c r="A82" s="635"/>
      <c r="B82" s="635"/>
      <c r="C82" s="635"/>
    </row>
    <row r="83" spans="1:7" ht="16.5" thickBot="1">
      <c r="A83" s="175" t="s">
        <v>136</v>
      </c>
      <c r="B83" s="175" t="s">
        <v>6</v>
      </c>
      <c r="C83" s="176" t="s">
        <v>79</v>
      </c>
      <c r="D83" s="182" t="s">
        <v>137</v>
      </c>
      <c r="E83" s="182" t="s">
        <v>120</v>
      </c>
      <c r="F83" s="176" t="s">
        <v>138</v>
      </c>
      <c r="G83" s="176" t="s">
        <v>139</v>
      </c>
    </row>
    <row r="84" spans="1:7" ht="16.5" thickTop="1">
      <c r="A84" s="158" t="s">
        <v>140</v>
      </c>
      <c r="B84" s="178"/>
      <c r="C84" s="157">
        <v>0</v>
      </c>
      <c r="D84" s="170">
        <v>5</v>
      </c>
      <c r="E84" s="208">
        <v>0.1</v>
      </c>
      <c r="F84" s="179">
        <f>IF(BankLoans[[#This Row],[AMOUNT]]&gt;0,BankLoans[[#This Row],[AMOUNT]]-BankLoans[[#This Row],[AMOUNT]]/BankLoans[[#This Row],[Duration in years]],0)</f>
        <v>0</v>
      </c>
      <c r="G84" s="179">
        <f>IF(BankLoans[[#This Row],[AMOUNT]]&gt;0,MAX(BankLoans[[#This Row],[AMOUNT]]-2*(BankLoans[[#This Row],[AMOUNT]]/BankLoans[[#This Row],[Duration in years]]),0),0)</f>
        <v>0</v>
      </c>
    </row>
    <row r="85" spans="1:7">
      <c r="A85" s="158" t="s">
        <v>141</v>
      </c>
      <c r="B85" s="178"/>
      <c r="C85" s="157">
        <v>0</v>
      </c>
      <c r="D85" s="170">
        <v>0</v>
      </c>
      <c r="E85" s="208">
        <v>0</v>
      </c>
      <c r="F85" s="179">
        <f>IF(BankLoans[[#This Row],[AMOUNT]]&gt;0,BankLoans[[#This Row],[AMOUNT]]-BankLoans[[#This Row],[AMOUNT]]/BankLoans[[#This Row],[Duration in years]],0)</f>
        <v>0</v>
      </c>
      <c r="G85" s="179">
        <f>IF(BankLoans[[#This Row],[AMOUNT]]&gt;0,MAX(BankLoans[[#This Row],[AMOUNT]]-2*(BankLoans[[#This Row],[AMOUNT]]/BankLoans[[#This Row],[Duration in years]]),0),0)</f>
        <v>0</v>
      </c>
    </row>
    <row r="86" spans="1:7">
      <c r="A86" s="158" t="s">
        <v>142</v>
      </c>
      <c r="B86" s="178"/>
      <c r="C86" s="157">
        <v>0</v>
      </c>
      <c r="D86" s="170">
        <v>0</v>
      </c>
      <c r="E86" s="208">
        <v>0</v>
      </c>
      <c r="F86" s="179">
        <f>IF(BankLoans[[#This Row],[AMOUNT]]&gt;0,BankLoans[[#This Row],[AMOUNT]]-BankLoans[[#This Row],[AMOUNT]]/BankLoans[[#This Row],[Duration in years]],0)</f>
        <v>0</v>
      </c>
      <c r="G86" s="179">
        <f>IF(BankLoans[[#This Row],[AMOUNT]]&gt;0,MAX(BankLoans[[#This Row],[AMOUNT]]-2*(BankLoans[[#This Row],[AMOUNT]]/BankLoans[[#This Row],[Duration in years]]),0),0)</f>
        <v>0</v>
      </c>
    </row>
    <row r="87" spans="1:7">
      <c r="A87" s="158" t="s">
        <v>143</v>
      </c>
      <c r="B87" s="178"/>
      <c r="C87" s="157">
        <v>0</v>
      </c>
      <c r="D87" s="170">
        <v>0</v>
      </c>
      <c r="E87" s="208">
        <v>0</v>
      </c>
      <c r="F87" s="179">
        <f>IF(BankLoans[[#This Row],[AMOUNT]]&gt;0,BankLoans[[#This Row],[AMOUNT]]-BankLoans[[#This Row],[AMOUNT]]/BankLoans[[#This Row],[Duration in years]],0)</f>
        <v>0</v>
      </c>
      <c r="G87" s="179">
        <f>IF(BankLoans[[#This Row],[AMOUNT]]&gt;0,MAX(BankLoans[[#This Row],[AMOUNT]]-2*(BankLoans[[#This Row],[AMOUNT]]/BankLoans[[#This Row],[Duration in years]]),0),0)</f>
        <v>0</v>
      </c>
    </row>
    <row r="88" spans="1:7">
      <c r="A88" s="177" t="s">
        <v>88</v>
      </c>
      <c r="B88" s="178"/>
      <c r="C88" s="179">
        <f>SUBTOTAL(109,BankLoans[AMOUNT])</f>
        <v>0</v>
      </c>
      <c r="D88" s="183"/>
      <c r="E88" s="183"/>
      <c r="F88" s="179">
        <f>SUBTOTAL(109,BankLoans[Year 1])</f>
        <v>0</v>
      </c>
      <c r="G88" s="179">
        <f>SUBTOTAL(109,BankLoans[Year 2])</f>
        <v>0</v>
      </c>
    </row>
    <row r="89" spans="1:7">
      <c r="A89" s="635"/>
      <c r="B89" s="635"/>
      <c r="C89" s="635"/>
    </row>
    <row r="90" spans="1:7" ht="16.5" thickBot="1">
      <c r="A90" s="175" t="s">
        <v>144</v>
      </c>
      <c r="B90" s="175" t="s">
        <v>6</v>
      </c>
      <c r="C90" s="176" t="s">
        <v>79</v>
      </c>
      <c r="D90" s="182" t="s">
        <v>137</v>
      </c>
      <c r="E90" s="182" t="s">
        <v>120</v>
      </c>
      <c r="F90" s="176" t="s">
        <v>138</v>
      </c>
      <c r="G90" s="176" t="s">
        <v>139</v>
      </c>
    </row>
    <row r="91" spans="1:7" ht="16.5" thickTop="1">
      <c r="A91" s="158" t="s">
        <v>145</v>
      </c>
      <c r="B91" s="178"/>
      <c r="C91" s="157">
        <v>0</v>
      </c>
      <c r="D91" s="170">
        <v>5</v>
      </c>
      <c r="E91" s="208">
        <v>0.05</v>
      </c>
      <c r="F91" s="179">
        <f>IF(OtherLoans[[#This Row],[AMOUNT]]&gt;0,OtherLoans[[#This Row],[AMOUNT]]-OtherLoans[[#This Row],[AMOUNT]]/OtherLoans[[#This Row],[Duration in years]],0)</f>
        <v>0</v>
      </c>
      <c r="G91" s="179">
        <f>IF(OtherLoans[[#This Row],[AMOUNT]]&gt;0,MAX(OtherLoans[[#This Row],[AMOUNT]]-2*(OtherLoans[[#This Row],[AMOUNT]]/OtherLoans[[#This Row],[Duration in years]]),0),0)</f>
        <v>0</v>
      </c>
    </row>
    <row r="92" spans="1:7">
      <c r="A92" s="158" t="s">
        <v>146</v>
      </c>
      <c r="B92" s="178"/>
      <c r="C92" s="157">
        <v>0</v>
      </c>
      <c r="D92" s="170">
        <v>0</v>
      </c>
      <c r="E92" s="208">
        <v>0</v>
      </c>
      <c r="F92" s="179">
        <f>IF(OtherLoans[[#This Row],[AMOUNT]]&gt;0,OtherLoans[[#This Row],[AMOUNT]]-OtherLoans[[#This Row],[AMOUNT]]/OtherLoans[[#This Row],[Duration in years]],0)</f>
        <v>0</v>
      </c>
      <c r="G92" s="179">
        <f>IF(OtherLoans[[#This Row],[AMOUNT]]&gt;0,MAX(OtherLoans[[#This Row],[AMOUNT]]-2*(OtherLoans[[#This Row],[AMOUNT]]/OtherLoans[[#This Row],[Duration in years]]),0),0)</f>
        <v>0</v>
      </c>
    </row>
    <row r="93" spans="1:7">
      <c r="A93" s="177" t="s">
        <v>88</v>
      </c>
      <c r="B93" s="178"/>
      <c r="C93" s="179">
        <f>SUBTOTAL(109,OtherLoans[AMOUNT])</f>
        <v>0</v>
      </c>
      <c r="D93" s="183"/>
      <c r="E93" s="183"/>
      <c r="F93" s="179">
        <f>SUBTOTAL(109,OtherLoans[Year 1])</f>
        <v>0</v>
      </c>
      <c r="G93" s="179">
        <f>SUBTOTAL(109,OtherLoans[Year 2])</f>
        <v>0</v>
      </c>
    </row>
    <row r="94" spans="1:7">
      <c r="A94" s="635"/>
      <c r="B94" s="635"/>
      <c r="C94" s="635"/>
    </row>
    <row r="95" spans="1:7" ht="70.5" customHeight="1">
      <c r="A95" s="639" t="s">
        <v>147</v>
      </c>
      <c r="B95" s="640"/>
      <c r="C95" s="641"/>
    </row>
    <row r="96" spans="1:7">
      <c r="A96" s="173"/>
      <c r="B96" s="173"/>
      <c r="C96" s="173"/>
    </row>
    <row r="97" spans="1:3" ht="16.5" thickBot="1">
      <c r="A97" s="175" t="s">
        <v>148</v>
      </c>
      <c r="B97" s="175" t="s">
        <v>6</v>
      </c>
      <c r="C97" s="176" t="s">
        <v>122</v>
      </c>
    </row>
    <row r="98" spans="1:3" ht="16.5" thickTop="1">
      <c r="A98" s="177" t="s">
        <v>149</v>
      </c>
      <c r="B98" s="178"/>
      <c r="C98" s="179">
        <f>OwnersInvestments[[#Totals],[AMOUNT]]</f>
        <v>0</v>
      </c>
    </row>
    <row r="99" spans="1:3">
      <c r="A99" s="177" t="s">
        <v>150</v>
      </c>
      <c r="B99" s="178"/>
      <c r="C99" s="179">
        <f>BankLoans[[#Totals],[AMOUNT]]</f>
        <v>0</v>
      </c>
    </row>
    <row r="100" spans="1:3">
      <c r="A100" s="177" t="s">
        <v>151</v>
      </c>
      <c r="B100" s="178"/>
      <c r="C100" s="179">
        <f>OtherLoans[[#Totals],[AMOUNT]]</f>
        <v>0</v>
      </c>
    </row>
    <row r="101" spans="1:3">
      <c r="A101" s="177" t="s">
        <v>88</v>
      </c>
      <c r="B101" s="178"/>
      <c r="C101" s="179">
        <f>SUBTOTAL(109,CapitalSources[TOTALS])</f>
        <v>0</v>
      </c>
    </row>
    <row r="102" spans="1:3" ht="16.5" thickBot="1">
      <c r="A102" s="184"/>
      <c r="B102" s="172"/>
      <c r="C102" s="185"/>
    </row>
    <row r="103" spans="1:3" ht="16.5" thickBot="1">
      <c r="A103" s="186" t="s">
        <v>152</v>
      </c>
      <c r="B103" s="187"/>
      <c r="C103" s="188">
        <f>CapitalSources[[#Totals],[TOTALS]]-StartupExpenses[[#Totals],[TOTALS]]</f>
        <v>0</v>
      </c>
    </row>
    <row r="104" spans="1:3" ht="16.5" thickTop="1">
      <c r="A104" s="636"/>
      <c r="B104" s="636"/>
      <c r="C104" s="636"/>
    </row>
    <row r="105" spans="1:3" ht="19.5">
      <c r="A105" s="201" t="s">
        <v>153</v>
      </c>
      <c r="B105" s="178"/>
      <c r="C105" s="178"/>
    </row>
    <row r="106" spans="1:3">
      <c r="A106" s="189" t="s">
        <v>154</v>
      </c>
      <c r="B106" s="190" t="s">
        <v>155</v>
      </c>
      <c r="C106" s="191" t="s">
        <v>156</v>
      </c>
    </row>
    <row r="107" spans="1:3">
      <c r="A107" s="192" t="s">
        <v>157</v>
      </c>
      <c r="B107" s="161"/>
      <c r="C107" s="160">
        <v>0</v>
      </c>
    </row>
    <row r="108" spans="1:3">
      <c r="A108" s="159" t="s">
        <v>158</v>
      </c>
      <c r="B108" s="161"/>
      <c r="C108" s="160">
        <v>0</v>
      </c>
    </row>
    <row r="109" spans="1:3">
      <c r="A109" s="159" t="s">
        <v>158</v>
      </c>
      <c r="B109" s="161"/>
      <c r="C109" s="160">
        <v>0</v>
      </c>
    </row>
    <row r="110" spans="1:3">
      <c r="A110" s="159" t="s">
        <v>158</v>
      </c>
      <c r="B110" s="161"/>
      <c r="C110" s="160">
        <v>0</v>
      </c>
    </row>
    <row r="111" spans="1:3">
      <c r="A111" s="177" t="s">
        <v>88</v>
      </c>
      <c r="B111" s="178"/>
      <c r="C111" s="179">
        <f>SUBTOTAL(109,Collateral[VALUE])</f>
        <v>0</v>
      </c>
    </row>
    <row r="112" spans="1:3" ht="56.1" customHeight="1" thickBot="1">
      <c r="A112" s="635"/>
      <c r="B112" s="635"/>
      <c r="C112" s="635"/>
    </row>
    <row r="113" spans="1:5">
      <c r="A113" s="193" t="s">
        <v>159</v>
      </c>
      <c r="B113" s="194" t="s">
        <v>6</v>
      </c>
      <c r="C113" s="195" t="s">
        <v>160</v>
      </c>
    </row>
    <row r="114" spans="1:5">
      <c r="A114" s="162" t="s">
        <v>161</v>
      </c>
      <c r="B114" s="196"/>
      <c r="C114" s="196"/>
    </row>
    <row r="115" spans="1:5">
      <c r="A115" s="163" t="s">
        <v>162</v>
      </c>
      <c r="B115" s="197"/>
      <c r="C115" s="197"/>
    </row>
    <row r="116" spans="1:5">
      <c r="A116" s="164" t="s">
        <v>162</v>
      </c>
      <c r="B116" s="198"/>
      <c r="C116" s="198"/>
    </row>
    <row r="117" spans="1:5" ht="16.5" thickBot="1">
      <c r="A117" s="635"/>
      <c r="B117" s="635"/>
      <c r="C117" s="635"/>
    </row>
    <row r="118" spans="1:5">
      <c r="A118" s="193" t="s">
        <v>163</v>
      </c>
      <c r="B118" s="194" t="s">
        <v>6</v>
      </c>
      <c r="C118" s="195" t="s">
        <v>160</v>
      </c>
    </row>
    <row r="119" spans="1:5">
      <c r="A119" s="162" t="s">
        <v>164</v>
      </c>
      <c r="B119" s="196"/>
      <c r="C119" s="196"/>
    </row>
    <row r="120" spans="1:5">
      <c r="A120" s="163" t="s">
        <v>165</v>
      </c>
      <c r="B120" s="197"/>
      <c r="C120" s="197"/>
      <c r="E120" s="382" t="s">
        <v>166</v>
      </c>
    </row>
    <row r="121" spans="1:5">
      <c r="A121" s="164" t="s">
        <v>167</v>
      </c>
      <c r="B121" s="198"/>
      <c r="C121" s="198"/>
    </row>
  </sheetData>
  <sheetProtection sheet="1" objects="1" scenarios="1"/>
  <mergeCells count="19">
    <mergeCell ref="B2:C2"/>
    <mergeCell ref="A61:C61"/>
    <mergeCell ref="A89:C89"/>
    <mergeCell ref="A94:C94"/>
    <mergeCell ref="A95:C95"/>
    <mergeCell ref="A52:C52"/>
    <mergeCell ref="A57:C57"/>
    <mergeCell ref="A59:C59"/>
    <mergeCell ref="A73:C73"/>
    <mergeCell ref="A82:C82"/>
    <mergeCell ref="A3:C3"/>
    <mergeCell ref="A12:C12"/>
    <mergeCell ref="A19:C19"/>
    <mergeCell ref="A27:C27"/>
    <mergeCell ref="A36:C36"/>
    <mergeCell ref="A44:C44"/>
    <mergeCell ref="A117:C117"/>
    <mergeCell ref="A104:C104"/>
    <mergeCell ref="A112:C112"/>
  </mergeCells>
  <phoneticPr fontId="69" type="noConversion"/>
  <conditionalFormatting sqref="C103">
    <cfRule type="expression" dxfId="159" priority="1">
      <formula>$C$103&lt;0</formula>
    </cfRule>
  </conditionalFormatting>
  <dataValidations count="38">
    <dataValidation allowBlank="1" showInputMessage="1" showErrorMessage="1" prompt="Sources of Capital label is in this cell. Enter details in table below" sqref="A75" xr:uid="{B50AE7B4-DA42-4554-A6F1-CC263571231D}"/>
    <dataValidation allowBlank="1" showInputMessage="1" showErrorMessage="1" prompt="Enter Names of Loan Guarantors Other Than Owners in this column under this heading" sqref="A118" xr:uid="{C01750C9-5DBB-4643-89F2-A8E9828EFCBE}"/>
    <dataValidation allowBlank="1" showInputMessage="1" showErrorMessage="1" prompt="Enter details in Guarantors table below" sqref="A117:C117" xr:uid="{D8D52C93-41D9-462E-9CE1-9D2635C8E82D}"/>
    <dataValidation allowBlank="1" showInputMessage="1" showErrorMessage="1" prompt="Enter details in Owners table below" sqref="A112:C112" xr:uid="{F5AD2EFD-82D6-4511-BEE2-59D04F8CBA69}"/>
    <dataValidation allowBlank="1" showInputMessage="1" showErrorMessage="1" prompt="Enter Value in this column under this heading" sqref="C106" xr:uid="{7C5C0AD5-B726-431B-BCED-3DE1039D267E}"/>
    <dataValidation allowBlank="1" showInputMessage="1" showErrorMessage="1" prompt="Enter Collateral for Loans in this column under this heading" sqref="A106" xr:uid="{54D775CF-E82B-45EB-A3DA-E878914C8874}"/>
    <dataValidation allowBlank="1" showInputMessage="1" showErrorMessage="1" prompt="Enter Description in this column under this heading" sqref="B106" xr:uid="{CB4DA6C5-E6E2-4B98-8691-3722A04156A7}"/>
    <dataValidation allowBlank="1" showInputMessage="1" showErrorMessage="1" prompt="Enter details in Collateral table below" sqref="A105" xr:uid="{774E25C0-FCEE-4D02-80D3-016FE33246FF}"/>
    <dataValidation allowBlank="1" showInputMessage="1" showErrorMessage="1" prompt="Security and Collateral for Loan Proposal label is in cell below" sqref="A104:C104" xr:uid="{9C2FF8D4-594F-417B-AD02-F2E6B449FBA8}"/>
    <dataValidation allowBlank="1" showInputMessage="1" showErrorMessage="1" prompt="Startup Expense items are in this column under this heading" sqref="A62" xr:uid="{34D1F22E-F858-4281-90FB-62F1DF28C224}"/>
    <dataValidation allowBlank="1" showInputMessage="1" showErrorMessage="1" prompt="Totals are auto updated in this column under this heading" sqref="C62 C97" xr:uid="{18956F6E-5AB9-471C-A7A8-5331A9E8DD31}"/>
    <dataValidation allowBlank="1" showInputMessage="1" showErrorMessage="1" prompt="Source of Capital items are in this column under this heading" sqref="A97" xr:uid="{053B3DAF-3AD1-43DC-8F89-358F7DA774E8}"/>
    <dataValidation allowBlank="1" showInputMessage="1" showErrorMessage="1" prompt="Tip is in cell below. Summary Statement label is in cell B85" sqref="A94:C94" xr:uid="{84567F58-7E1D-4888-9F17-AAFA0E02768A}"/>
    <dataValidation allowBlank="1" showInputMessage="1" showErrorMessage="1" prompt="Enter Other Loans in this column under this heading" sqref="A90" xr:uid="{FC90B482-DF7F-44AF-AF2E-D3C18FC27A7A}"/>
    <dataValidation allowBlank="1" showInputMessage="1" showErrorMessage="1" prompt="Enter details in Other Loans table below" sqref="A89:C89" xr:uid="{9F3DB940-4E5B-449A-88C0-BFE6894B454E}"/>
    <dataValidation allowBlank="1" showInputMessage="1" showErrorMessage="1" prompt="Enter Bank Loans in this column under this heading" sqref="A83" xr:uid="{40220485-8BAF-471E-B09D-4C0A2A8EA8A5}"/>
    <dataValidation allowBlank="1" showInputMessage="1" showErrorMessage="1" prompt="Enter details in Bank Loans table below" sqref="A82:C82" xr:uid="{A2A67799-EFE2-4679-A92A-F7F0A7CF4679}"/>
    <dataValidation allowBlank="1" showInputMessage="1" showErrorMessage="1" prompt="Enter Owners' Investment Name and Ownership percent in this column under this heading" sqref="A76" xr:uid="{5815EB5D-F15D-4CB1-B094-B99AC7E4A7ED}"/>
    <dataValidation allowBlank="1" showInputMessage="1" showErrorMessage="1" prompt="Enter Reserve for Contingencies in cell D57" sqref="A58" xr:uid="{5C8DBB24-CD14-4B6A-85AC-D72FB0F4DBFC}"/>
    <dataValidation allowBlank="1" showInputMessage="1" showErrorMessage="1" prompt="Enter or modify Other Expenses items in this column under this heading" sqref="A53" xr:uid="{F15946B0-EA6C-4D48-B641-B8B5875A53AE}"/>
    <dataValidation allowBlank="1" showInputMessage="1" showErrorMessage="1" prompt="Enter details in Other Expenses table below" sqref="A52:C52" xr:uid="{7B6343B3-45E5-460C-98AC-BB55BD979F78}"/>
    <dataValidation allowBlank="1" showInputMessage="1" showErrorMessage="1" prompt="Enter details in Advertising and Promotional Expenses table below" sqref="A44:C44" xr:uid="{BA0C9254-0694-4C35-8B6D-EAB8E38D8F49}"/>
    <dataValidation allowBlank="1" showInputMessage="1" showErrorMessage="1" prompt="Enter or modify Opening Inventory items in this column under this heading" sqref="A37" xr:uid="{38639345-E6D2-4ABE-894E-3207EBBDC4C1}"/>
    <dataValidation allowBlank="1" showInputMessage="1" showErrorMessage="1" prompt="Enter or modify Advertising and Promotional Expenses items in this column under this heading" sqref="A45" xr:uid="{B17E9690-A9C7-46EF-8D47-4143B5C30752}"/>
    <dataValidation allowBlank="1" showInputMessage="1" showErrorMessage="1" prompt="Enter details in Opening Inventory table below" sqref="A36:C36" xr:uid="{E3AABA0D-96B0-4D49-8440-82037C4BD101}"/>
    <dataValidation allowBlank="1" showInputMessage="1" showErrorMessage="1" prompt="Enter or modify Location and Admin Expenses in this column under this heading" sqref="A28" xr:uid="{CFB447D2-0C81-42EE-B1F5-6BC95581ABBE}"/>
    <dataValidation allowBlank="1" showInputMessage="1" showErrorMessage="1" prompt="Enter details in Admin Expenses table below" sqref="A27:C27" xr:uid="{795493C1-E468-4FB9-B930-6D985F85ACB5}"/>
    <dataValidation allowBlank="1" showInputMessage="1" showErrorMessage="1" prompt="Enter or modify Capital Equipment List in this column under this heading" sqref="A20" xr:uid="{225EEBF7-B387-4358-8B5C-2725B14627FE}"/>
    <dataValidation allowBlank="1" showInputMessage="1" showErrorMessage="1" prompt="Enter details in Capital table below" sqref="A19:C19" xr:uid="{733FD9D8-D1B5-4D8B-9DBF-DA03069E4787}"/>
    <dataValidation allowBlank="1" showInputMessage="1" showErrorMessage="1" prompt="Enter or modify Leasehold Improvements in this column under this heading" sqref="A13" xr:uid="{42FB8ACE-FECE-40A6-B993-848CCF1797E8}"/>
    <dataValidation allowBlank="1" showInputMessage="1" showErrorMessage="1" prompt="Enter details in Improvement table below" sqref="A12:C12" xr:uid="{FA60137E-48B9-4547-9892-66C6361C9904}"/>
    <dataValidation allowBlank="1" showInputMessage="1" showErrorMessage="1" prompt="Enter Amount in this column under this heading" sqref="C6 C13 C20 C28 C37 C45 C53 C76 C83 C90" xr:uid="{75DBC7BE-EF7E-45AE-A51E-CEF646EA0F9A}"/>
    <dataValidation allowBlank="1" showInputMessage="1" showErrorMessage="1" prompt="Enter or modify Building or Real Estate item in this column under this heading" sqref="A6" xr:uid="{D56B62EC-07D6-4005-97AF-A2747DCC42D5}"/>
    <dataValidation allowBlank="1" showInputMessage="1" showErrorMessage="1" prompt="Enter details in Real Estate table below" sqref="A5" xr:uid="{0BF5BCF4-74D2-4AEF-8123-AF379F9FDA79}"/>
    <dataValidation allowBlank="1" showInputMessage="1" showErrorMessage="1" prompt="Enter Company Name in this cell" sqref="B2" xr:uid="{9E7BDB45-C8E0-4F0F-AEB3-16B9680ABB4F}"/>
    <dataValidation allowBlank="1" showInputMessage="1" showErrorMessage="1" prompt="Title of this worksheet is in this cell and Tip in cell below" sqref="A2" xr:uid="{7F3EB60A-CFBB-417D-8DF3-44958455EB0B}"/>
    <dataValidation type="whole" operator="greaterThanOrEqual" allowBlank="1" showInputMessage="1" showErrorMessage="1" error="Only numbers" sqref="C107:C110 C14:C17 C29:C34 C38:C42 C46:C50 C84:D87 C54 C55 C77:C80 C98:C100 C7:D10 C21:D25 C91:D92" xr:uid="{5E1C3AFF-540D-42E9-AD70-472B6B07681A}">
      <formula1>0</formula1>
    </dataValidation>
    <dataValidation type="decimal" operator="greaterThanOrEqual" allowBlank="1" showInputMessage="1" showErrorMessage="1" error="Only numbers" sqref="E84:E87 E91:E92 C58 C60" xr:uid="{A64C97EC-683F-48DE-898A-CB744437A3EB}">
      <formula1>0</formula1>
    </dataValidation>
  </dataValidations>
  <hyperlinks>
    <hyperlink ref="E120" location="'Cost Structure'!A1" display="Back Cost Structure" xr:uid="{873DB96A-A639-47BB-A359-2FDDE0D9EF5E}"/>
  </hyperlinks>
  <pageMargins left="0.7" right="0.7" top="0.75" bottom="0.75" header="0.3" footer="0.3"/>
  <pageSetup scale="78" orientation="portrait" r:id="rId1"/>
  <rowBreaks count="2" manualBreakCount="2">
    <brk id="44" max="3" man="1"/>
    <brk id="74" max="16383" man="1"/>
  </rowBreaks>
  <legacyDrawing r:id="rId2"/>
  <tableParts count="15">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49A2F-DD96-491B-8603-C51B1B3D042D}">
  <sheetPr codeName="Sheet13"/>
  <dimension ref="A1:AW342"/>
  <sheetViews>
    <sheetView zoomScale="130" zoomScaleNormal="130" workbookViewId="0">
      <selection activeCell="F13" sqref="F13"/>
    </sheetView>
  </sheetViews>
  <sheetFormatPr defaultRowHeight="15.75"/>
  <cols>
    <col min="1" max="1" width="93.25" customWidth="1"/>
    <col min="2" max="3" width="9" style="97"/>
    <col min="4" max="4" width="11.25" style="97" customWidth="1"/>
    <col min="5" max="49" width="9" style="97"/>
  </cols>
  <sheetData>
    <row r="1" spans="1:9">
      <c r="A1" s="102" t="str">
        <f>'Lean Canvas'!L48</f>
        <v>Revenue Streams</v>
      </c>
    </row>
    <row r="2" spans="1:9" ht="15.75" customHeight="1">
      <c r="A2" s="165" t="s">
        <v>168</v>
      </c>
      <c r="C2" s="518">
        <f>'Lean Canvas'!L50</f>
        <v>0</v>
      </c>
      <c r="D2" s="518"/>
      <c r="E2" s="518"/>
      <c r="F2" s="518"/>
      <c r="G2" s="518"/>
      <c r="H2" s="518"/>
    </row>
    <row r="3" spans="1:9" ht="60" customHeight="1">
      <c r="A3" s="110"/>
      <c r="C3" s="518"/>
      <c r="D3" s="518"/>
      <c r="E3" s="518"/>
      <c r="F3" s="518"/>
      <c r="G3" s="518"/>
      <c r="H3" s="518"/>
    </row>
    <row r="4" spans="1:9" ht="41.45" customHeight="1">
      <c r="A4" s="460" t="s">
        <v>169</v>
      </c>
      <c r="C4" s="518"/>
      <c r="D4" s="518"/>
      <c r="E4" s="518"/>
      <c r="F4" s="518"/>
      <c r="G4" s="518"/>
      <c r="H4" s="518"/>
    </row>
    <row r="5" spans="1:9" ht="111" customHeight="1">
      <c r="A5" s="110"/>
    </row>
    <row r="6" spans="1:9" s="97" customFormat="1">
      <c r="A6" s="384" t="s">
        <v>170</v>
      </c>
    </row>
    <row r="7" spans="1:9" s="97" customFormat="1">
      <c r="A7" s="383" t="s">
        <v>171</v>
      </c>
    </row>
    <row r="8" spans="1:9" s="97" customFormat="1">
      <c r="A8" s="383" t="s">
        <v>172</v>
      </c>
      <c r="B8" s="367"/>
      <c r="C8" s="243"/>
      <c r="D8" s="243"/>
      <c r="E8" s="367"/>
      <c r="F8" s="367"/>
      <c r="G8" s="367"/>
      <c r="H8" s="367"/>
      <c r="I8" s="367"/>
    </row>
    <row r="9" spans="1:9" s="97" customFormat="1">
      <c r="A9" s="383" t="s">
        <v>173</v>
      </c>
      <c r="B9" s="367"/>
      <c r="D9" s="244">
        <v>5</v>
      </c>
      <c r="E9" s="367"/>
      <c r="F9" s="367"/>
      <c r="G9" s="367"/>
      <c r="H9" s="367"/>
      <c r="I9" s="367"/>
    </row>
    <row r="10" spans="1:9" s="97" customFormat="1">
      <c r="A10" s="383" t="s">
        <v>174</v>
      </c>
      <c r="B10" s="367"/>
      <c r="D10" s="243"/>
      <c r="E10" s="367"/>
      <c r="F10" s="367"/>
      <c r="G10" s="367"/>
      <c r="H10" s="367"/>
      <c r="I10" s="367"/>
    </row>
    <row r="11" spans="1:9" s="97" customFormat="1">
      <c r="A11" s="383" t="s">
        <v>175</v>
      </c>
      <c r="B11" s="367"/>
      <c r="D11" s="243"/>
      <c r="E11" s="367"/>
      <c r="F11" s="367"/>
      <c r="G11" s="367"/>
      <c r="H11" s="367"/>
      <c r="I11" s="367"/>
    </row>
    <row r="12" spans="1:9" s="97" customFormat="1">
      <c r="A12" s="383" t="s">
        <v>176</v>
      </c>
      <c r="B12" s="367"/>
      <c r="D12" s="243"/>
      <c r="E12" s="367"/>
      <c r="F12" s="367"/>
      <c r="G12" s="367"/>
      <c r="H12" s="367"/>
      <c r="I12" s="367"/>
    </row>
    <row r="13" spans="1:9" s="97" customFormat="1" ht="18.75">
      <c r="A13" s="383" t="s">
        <v>177</v>
      </c>
      <c r="B13" s="367"/>
      <c r="C13" s="379" t="s">
        <v>178</v>
      </c>
      <c r="D13" s="378"/>
      <c r="E13" s="367"/>
      <c r="F13" s="377" t="s">
        <v>25</v>
      </c>
      <c r="G13" s="378"/>
      <c r="H13" s="367"/>
      <c r="I13" s="367"/>
    </row>
    <row r="14" spans="1:9" s="97" customFormat="1">
      <c r="B14" s="367"/>
      <c r="D14" s="243"/>
      <c r="E14" s="367"/>
      <c r="F14" s="367"/>
      <c r="G14" s="367"/>
      <c r="H14" s="367"/>
      <c r="I14" s="367"/>
    </row>
    <row r="15" spans="1:9" s="97" customFormat="1">
      <c r="B15" s="367"/>
      <c r="D15" s="243"/>
      <c r="E15" s="367"/>
      <c r="F15" s="367"/>
      <c r="G15" s="367"/>
      <c r="H15" s="367"/>
      <c r="I15" s="367"/>
    </row>
    <row r="16" spans="1:9" s="97" customFormat="1">
      <c r="B16" s="367"/>
      <c r="C16" s="367"/>
      <c r="D16" s="367"/>
      <c r="E16" s="367"/>
      <c r="F16" s="367"/>
      <c r="G16" s="367"/>
      <c r="H16" s="367"/>
      <c r="I16" s="367"/>
    </row>
    <row r="17" spans="2:9" s="97" customFormat="1">
      <c r="B17" s="367"/>
      <c r="C17" s="367"/>
      <c r="D17" s="367"/>
      <c r="E17" s="367"/>
      <c r="F17" s="367"/>
      <c r="G17" s="367"/>
      <c r="H17" s="367"/>
      <c r="I17" s="367"/>
    </row>
    <row r="18" spans="2:9" s="97" customFormat="1">
      <c r="B18" s="367"/>
      <c r="C18" s="367"/>
      <c r="D18" s="367"/>
      <c r="E18" s="367"/>
      <c r="F18" s="367"/>
      <c r="G18" s="367"/>
      <c r="H18" s="367"/>
      <c r="I18" s="367"/>
    </row>
    <row r="19" spans="2:9" s="97" customFormat="1">
      <c r="B19" s="367"/>
      <c r="C19" s="367"/>
      <c r="D19" s="367"/>
      <c r="E19" s="367"/>
      <c r="F19" s="367"/>
      <c r="G19" s="367"/>
      <c r="H19" s="367"/>
      <c r="I19" s="367"/>
    </row>
    <row r="20" spans="2:9" s="97" customFormat="1">
      <c r="B20" s="367"/>
      <c r="C20" s="367"/>
      <c r="D20" s="367"/>
      <c r="E20" s="367"/>
      <c r="F20" s="367"/>
      <c r="G20" s="367"/>
      <c r="H20" s="367"/>
      <c r="I20" s="367"/>
    </row>
    <row r="21" spans="2:9" s="97" customFormat="1">
      <c r="C21" s="367"/>
    </row>
    <row r="22" spans="2:9" s="97" customFormat="1">
      <c r="C22" s="367"/>
    </row>
    <row r="23" spans="2:9" s="97" customFormat="1">
      <c r="C23" s="367"/>
    </row>
    <row r="24" spans="2:9" s="97" customFormat="1"/>
    <row r="25" spans="2:9" s="97" customFormat="1"/>
    <row r="26" spans="2:9" s="97" customFormat="1"/>
    <row r="27" spans="2:9" s="97" customFormat="1"/>
    <row r="28" spans="2:9" s="97" customFormat="1"/>
    <row r="29" spans="2:9" s="97" customFormat="1"/>
    <row r="30" spans="2:9" s="97" customFormat="1"/>
    <row r="31" spans="2:9" s="97" customFormat="1"/>
    <row r="32" spans="2:9" s="97" customFormat="1"/>
    <row r="33" s="97" customFormat="1"/>
    <row r="34" s="97" customFormat="1"/>
    <row r="35" s="97" customFormat="1"/>
    <row r="36" s="97" customFormat="1"/>
    <row r="37" s="97" customFormat="1"/>
    <row r="38" s="97" customFormat="1"/>
    <row r="39" s="97" customFormat="1"/>
    <row r="40" s="97" customFormat="1"/>
    <row r="41" s="97" customFormat="1"/>
    <row r="42" s="97" customFormat="1"/>
    <row r="43" s="97" customFormat="1"/>
    <row r="44" s="97" customFormat="1"/>
    <row r="45" s="97" customFormat="1"/>
    <row r="46" s="97" customFormat="1"/>
    <row r="47" s="97" customFormat="1"/>
    <row r="48" s="97" customFormat="1"/>
    <row r="49" s="97" customFormat="1"/>
    <row r="50" s="97" customFormat="1"/>
    <row r="51" s="97" customFormat="1"/>
    <row r="52" s="97" customFormat="1"/>
    <row r="53" s="97" customFormat="1"/>
    <row r="54" s="97" customFormat="1"/>
    <row r="55" s="97" customFormat="1"/>
    <row r="56" s="97" customFormat="1"/>
    <row r="57" s="97" customFormat="1"/>
    <row r="58" s="97" customFormat="1"/>
    <row r="59" s="97" customFormat="1"/>
    <row r="60" s="97" customFormat="1"/>
    <row r="61" s="97" customFormat="1"/>
    <row r="62" s="97" customFormat="1"/>
    <row r="63" s="97" customFormat="1"/>
    <row r="64" s="97" customFormat="1"/>
    <row r="65" s="97" customFormat="1"/>
    <row r="66" s="97" customFormat="1"/>
    <row r="67" s="97" customFormat="1"/>
    <row r="68" s="97" customFormat="1"/>
    <row r="69" s="97" customFormat="1"/>
    <row r="70" s="97" customFormat="1"/>
    <row r="71" s="97" customFormat="1"/>
    <row r="72" s="97" customFormat="1"/>
    <row r="73" s="97" customFormat="1"/>
    <row r="74" s="97" customFormat="1"/>
    <row r="75" s="97" customFormat="1"/>
    <row r="76" s="97" customFormat="1"/>
    <row r="77" s="97" customFormat="1"/>
    <row r="78" s="97" customFormat="1"/>
    <row r="79" s="97" customFormat="1"/>
    <row r="80" s="97" customFormat="1"/>
    <row r="81" s="97" customFormat="1"/>
    <row r="82" s="97" customFormat="1"/>
    <row r="83" s="97" customFormat="1"/>
    <row r="84" s="97" customFormat="1"/>
    <row r="85" s="97" customFormat="1"/>
    <row r="86" s="97" customFormat="1"/>
    <row r="87" s="97" customFormat="1"/>
    <row r="88" s="97" customFormat="1"/>
    <row r="89" s="97" customFormat="1"/>
    <row r="90" s="97" customFormat="1"/>
    <row r="91" s="97" customFormat="1"/>
    <row r="92" s="97" customFormat="1"/>
    <row r="93" s="97" customFormat="1"/>
    <row r="94" s="97" customFormat="1"/>
    <row r="95" s="97" customFormat="1"/>
    <row r="96" s="97" customFormat="1"/>
    <row r="97" s="97" customFormat="1"/>
    <row r="98" s="97" customFormat="1"/>
    <row r="99" s="97" customFormat="1"/>
    <row r="100" s="97" customFormat="1"/>
    <row r="101" s="97" customFormat="1"/>
    <row r="102" s="97" customFormat="1"/>
    <row r="103" s="97" customFormat="1"/>
    <row r="104" s="97" customFormat="1"/>
    <row r="105" s="97" customFormat="1"/>
    <row r="106" s="97" customFormat="1"/>
    <row r="107" s="97" customFormat="1"/>
    <row r="108" s="97" customFormat="1"/>
    <row r="109" s="97" customFormat="1"/>
    <row r="110" s="97" customFormat="1"/>
    <row r="111" s="97" customFormat="1"/>
    <row r="112" s="97" customFormat="1"/>
    <row r="113" s="97" customFormat="1"/>
    <row r="114" s="97" customFormat="1"/>
    <row r="115" s="97" customFormat="1"/>
    <row r="116" s="97" customFormat="1"/>
    <row r="117" s="97" customFormat="1"/>
    <row r="118" s="97" customFormat="1"/>
    <row r="119" s="97" customFormat="1"/>
    <row r="120" s="97" customFormat="1"/>
    <row r="121" s="97" customFormat="1"/>
    <row r="122" s="97" customFormat="1"/>
    <row r="123" s="97" customFormat="1"/>
    <row r="124" s="97" customFormat="1"/>
    <row r="125" s="97" customFormat="1"/>
    <row r="126" s="97" customFormat="1"/>
    <row r="127" s="97" customFormat="1"/>
    <row r="128" s="97" customFormat="1"/>
    <row r="129" s="97" customFormat="1"/>
    <row r="130" s="97" customFormat="1"/>
    <row r="131" s="97" customFormat="1"/>
    <row r="132" s="97" customFormat="1"/>
    <row r="133" s="97" customFormat="1"/>
    <row r="134" s="97" customFormat="1"/>
    <row r="135" s="97" customFormat="1"/>
    <row r="136" s="97" customFormat="1"/>
    <row r="137" s="97" customFormat="1"/>
    <row r="138" s="97" customFormat="1"/>
    <row r="139" s="97" customFormat="1"/>
    <row r="140" s="97" customFormat="1"/>
    <row r="141" s="97" customFormat="1"/>
    <row r="142" s="97" customFormat="1"/>
    <row r="143" s="97" customFormat="1"/>
    <row r="144" s="97" customFormat="1"/>
    <row r="145" s="97" customFormat="1"/>
    <row r="146" s="97" customFormat="1"/>
    <row r="147" s="97" customFormat="1"/>
    <row r="148" s="97" customFormat="1"/>
    <row r="149" s="97" customFormat="1"/>
    <row r="150" s="97" customFormat="1"/>
    <row r="151" s="97" customFormat="1"/>
    <row r="152" s="97" customFormat="1"/>
    <row r="153" s="97" customFormat="1"/>
    <row r="154" s="97" customFormat="1"/>
    <row r="155" s="97" customFormat="1"/>
    <row r="156" s="97" customFormat="1"/>
    <row r="157" s="97" customFormat="1"/>
    <row r="158" s="97" customFormat="1"/>
    <row r="159" s="97" customFormat="1"/>
    <row r="160" s="97" customFormat="1"/>
    <row r="161" s="97" customFormat="1"/>
    <row r="162" s="97" customFormat="1"/>
    <row r="163" s="97" customFormat="1"/>
    <row r="164" s="97" customFormat="1"/>
    <row r="165" s="97" customFormat="1"/>
    <row r="166" s="97" customFormat="1"/>
    <row r="167" s="97" customFormat="1"/>
    <row r="168" s="97" customFormat="1"/>
    <row r="169" s="97" customFormat="1"/>
    <row r="170" s="97" customFormat="1"/>
    <row r="171" s="97" customFormat="1"/>
    <row r="172" s="97" customFormat="1"/>
    <row r="173" s="97" customFormat="1"/>
    <row r="174" s="97" customFormat="1"/>
    <row r="175" s="97" customFormat="1"/>
    <row r="176" s="97" customFormat="1"/>
    <row r="177" s="97" customFormat="1"/>
    <row r="178" s="97" customFormat="1"/>
    <row r="179" s="97" customFormat="1"/>
    <row r="180" s="97" customFormat="1"/>
    <row r="181" s="97" customFormat="1"/>
    <row r="182" s="97" customFormat="1"/>
    <row r="183" s="97" customFormat="1"/>
    <row r="184" s="97" customFormat="1"/>
    <row r="185" s="97" customFormat="1"/>
    <row r="186" s="97" customFormat="1"/>
    <row r="187" s="97" customFormat="1"/>
    <row r="188" s="97" customFormat="1"/>
    <row r="189" s="97" customFormat="1"/>
    <row r="190" s="97" customFormat="1"/>
    <row r="191" s="97" customFormat="1"/>
    <row r="192" s="97" customFormat="1"/>
    <row r="193" s="97" customFormat="1"/>
    <row r="194" s="97" customFormat="1"/>
    <row r="195" s="97" customFormat="1"/>
    <row r="196" s="97" customFormat="1"/>
    <row r="197" s="97" customFormat="1"/>
    <row r="198" s="97" customFormat="1"/>
    <row r="199" s="97" customFormat="1"/>
    <row r="200" s="97" customFormat="1"/>
    <row r="201" s="97" customFormat="1"/>
    <row r="202" s="97" customFormat="1"/>
    <row r="203" s="97" customFormat="1"/>
    <row r="204" s="97" customFormat="1"/>
    <row r="205" s="97" customFormat="1"/>
    <row r="206" s="97" customFormat="1"/>
    <row r="207" s="97" customFormat="1"/>
    <row r="208" s="97" customFormat="1"/>
    <row r="209" s="97" customFormat="1"/>
    <row r="210" s="97" customFormat="1"/>
    <row r="211" s="97" customFormat="1"/>
    <row r="212" s="97" customFormat="1"/>
    <row r="213" s="97" customFormat="1"/>
    <row r="214" s="97" customFormat="1"/>
    <row r="215" s="97" customFormat="1"/>
    <row r="216" s="97" customFormat="1"/>
    <row r="217" s="97" customFormat="1"/>
    <row r="218" s="97" customFormat="1"/>
    <row r="219" s="97" customFormat="1"/>
    <row r="220" s="97" customFormat="1"/>
    <row r="221" s="97" customFormat="1"/>
    <row r="222" s="97" customFormat="1"/>
    <row r="223" s="97" customFormat="1"/>
    <row r="224" s="97" customFormat="1"/>
    <row r="225" s="97" customFormat="1"/>
    <row r="226" s="97" customFormat="1"/>
    <row r="227" s="97" customFormat="1"/>
    <row r="228" s="97" customFormat="1"/>
    <row r="229" s="97" customFormat="1"/>
    <row r="230" s="97" customFormat="1"/>
    <row r="231" s="97" customFormat="1"/>
    <row r="232" s="97" customFormat="1"/>
    <row r="233" s="97" customFormat="1"/>
    <row r="234" s="97" customFormat="1"/>
    <row r="235" s="97" customFormat="1"/>
    <row r="236" s="97" customFormat="1"/>
    <row r="237" s="97" customFormat="1"/>
    <row r="238" s="97" customFormat="1"/>
    <row r="239" s="97" customFormat="1"/>
    <row r="240" s="97" customFormat="1"/>
    <row r="241" s="97" customFormat="1"/>
    <row r="242" s="97" customFormat="1"/>
    <row r="243" s="97" customFormat="1"/>
    <row r="244" s="97" customFormat="1"/>
    <row r="245" s="97" customFormat="1"/>
    <row r="246" s="97" customFormat="1"/>
    <row r="247" s="97" customFormat="1"/>
    <row r="248" s="97" customFormat="1"/>
    <row r="249" s="97" customFormat="1"/>
    <row r="250" s="97" customFormat="1"/>
    <row r="251" s="97" customFormat="1"/>
    <row r="252" s="97" customFormat="1"/>
    <row r="253" s="97" customFormat="1"/>
    <row r="254" s="97" customFormat="1"/>
    <row r="255" s="97" customFormat="1"/>
    <row r="256" s="97" customFormat="1"/>
    <row r="257" s="97" customFormat="1"/>
    <row r="258" s="97" customFormat="1"/>
    <row r="259" s="97" customFormat="1"/>
    <row r="260" s="97" customFormat="1"/>
    <row r="261" s="97" customFormat="1"/>
    <row r="262" s="97" customFormat="1"/>
    <row r="263" s="97" customFormat="1"/>
    <row r="264" s="97" customFormat="1"/>
    <row r="265" s="97" customFormat="1"/>
    <row r="266" s="97" customFormat="1"/>
    <row r="267" s="97" customFormat="1"/>
    <row r="268" s="97" customFormat="1"/>
    <row r="269" s="97" customFormat="1"/>
    <row r="270" s="97" customFormat="1"/>
    <row r="271" s="97" customFormat="1"/>
    <row r="272" s="97" customFormat="1"/>
    <row r="273" s="97" customFormat="1"/>
    <row r="274" s="97" customFormat="1"/>
    <row r="275" s="97" customFormat="1"/>
    <row r="276" s="97" customFormat="1"/>
    <row r="277" s="97" customFormat="1"/>
    <row r="278" s="97" customFormat="1"/>
    <row r="279" s="97" customFormat="1"/>
    <row r="280" s="97" customFormat="1"/>
    <row r="281" s="97" customFormat="1"/>
    <row r="282" s="97" customFormat="1"/>
    <row r="283" s="97" customFormat="1"/>
    <row r="284" s="97" customFormat="1"/>
    <row r="285" s="97" customFormat="1"/>
    <row r="286" s="97" customFormat="1"/>
    <row r="287" s="97" customFormat="1"/>
    <row r="288" s="97" customFormat="1"/>
    <row r="289" s="97" customFormat="1"/>
    <row r="290" s="97" customFormat="1"/>
    <row r="291" s="97" customFormat="1"/>
    <row r="292" s="97" customFormat="1"/>
    <row r="293" s="97" customFormat="1"/>
    <row r="294" s="97" customFormat="1"/>
    <row r="295" s="97" customFormat="1"/>
    <row r="296" s="97" customFormat="1"/>
    <row r="297" s="97" customFormat="1"/>
    <row r="298" s="97" customFormat="1"/>
    <row r="299" s="97" customFormat="1"/>
    <row r="300" s="97" customFormat="1"/>
    <row r="301" s="97" customFormat="1"/>
    <row r="302" s="97" customFormat="1"/>
    <row r="303" s="97" customFormat="1"/>
    <row r="304" s="97" customFormat="1"/>
    <row r="305" s="97" customFormat="1"/>
    <row r="306" s="97" customFormat="1"/>
    <row r="307" s="97" customFormat="1"/>
    <row r="308" s="97" customFormat="1"/>
    <row r="309" s="97" customFormat="1"/>
    <row r="310" s="97" customFormat="1"/>
    <row r="311" s="97" customFormat="1"/>
    <row r="312" s="97" customFormat="1"/>
    <row r="313" s="97" customFormat="1"/>
    <row r="314" s="97" customFormat="1"/>
    <row r="315" s="97" customFormat="1"/>
    <row r="316" s="97" customFormat="1"/>
    <row r="317" s="97" customFormat="1"/>
    <row r="318" s="97" customFormat="1"/>
    <row r="319" s="97" customFormat="1"/>
    <row r="320" s="97" customFormat="1"/>
    <row r="321" s="97" customFormat="1"/>
    <row r="322" s="97" customFormat="1"/>
    <row r="323" s="97" customFormat="1"/>
    <row r="324" s="97" customFormat="1"/>
    <row r="325" s="97" customFormat="1"/>
    <row r="326" s="97" customFormat="1"/>
    <row r="327" s="97" customFormat="1"/>
    <row r="328" s="97" customFormat="1"/>
    <row r="329" s="97" customFormat="1"/>
    <row r="330" s="97" customFormat="1"/>
    <row r="331" s="97" customFormat="1"/>
    <row r="332" s="97" customFormat="1"/>
    <row r="333" s="97" customFormat="1"/>
    <row r="334" s="97" customFormat="1"/>
    <row r="335" s="97" customFormat="1"/>
    <row r="336" s="97" customFormat="1"/>
    <row r="337" s="97" customFormat="1"/>
    <row r="338" s="97" customFormat="1"/>
    <row r="339" s="97" customFormat="1"/>
    <row r="340" s="97" customFormat="1"/>
    <row r="341" s="97" customFormat="1"/>
    <row r="342" s="97" customFormat="1"/>
  </sheetData>
  <sheetProtection sheet="1" objects="1" scenarios="1"/>
  <mergeCells count="1">
    <mergeCell ref="C2:H4"/>
  </mergeCells>
  <hyperlinks>
    <hyperlink ref="A7" location="'Product Pricing'!F18" display="Production" xr:uid="{3ED0E9F6-F18D-4B50-9D2C-80BD91073253}"/>
    <hyperlink ref="A8" location="'Product Pricing'!F18" display="Service" xr:uid="{41016EBF-3BE9-40AB-BB5F-566540C6FE27}"/>
    <hyperlink ref="A9" location="Restaurant_Bar!F18" display="Restaurant/Bar" xr:uid="{FEFE2E37-0367-4143-928E-362F30C6AB8E}"/>
    <hyperlink ref="A10" location="'Layer Production'!D6" display="Layer Production" xr:uid="{A61D16B7-41EC-47DD-9ECA-67A1371189D0}"/>
    <hyperlink ref="A11" location="'Farming Crops'!B3" display="Farming Crops" xr:uid="{C10F3396-1F23-40AF-9C63-8BA94DBF1F3A}"/>
    <hyperlink ref="A12" location="Livestock!D3" display="Livestocks" xr:uid="{765CEEA5-B507-4B0E-80B4-BE4D03BE1382}"/>
    <hyperlink ref="A13" location="Boutique!F18" display="Boutique" xr:uid="{0510A733-8731-4626-91A7-EBC9297940C5}"/>
    <hyperlink ref="F13" location="'Lean Canvas'!A1" display="Back Lean Canvas" xr:uid="{983E2BCE-33D2-426F-A2F9-E651D7E75D21}"/>
    <hyperlink ref="C13" location="CashFlow!A1" display="GoTo Financial Planning" xr:uid="{DD4F7310-914D-4682-86C1-17E934FDF7F7}"/>
  </hyperlinks>
  <pageMargins left="0.7" right="0.7" top="0.75" bottom="0.75" header="0.3" footer="0.3"/>
  <pageSetup orientation="portrait" horizontalDpi="4294967293" vertic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F6D04-4E77-4779-B78F-E9C1553D8228}">
  <sheetPr codeName="Sheet16">
    <pageSetUpPr fitToPage="1"/>
  </sheetPr>
  <dimension ref="A1:AB65"/>
  <sheetViews>
    <sheetView topLeftCell="A9" zoomScaleNormal="100" workbookViewId="0">
      <selection activeCell="F25" sqref="F25"/>
    </sheetView>
  </sheetViews>
  <sheetFormatPr defaultColWidth="9" defaultRowHeight="15"/>
  <cols>
    <col min="1" max="5" width="9" style="199"/>
    <col min="6" max="6" width="17.25" style="199" customWidth="1"/>
    <col min="7" max="11" width="9" style="199"/>
    <col min="12" max="12" width="5.375" style="199" customWidth="1"/>
    <col min="13" max="13" width="9" style="199"/>
    <col min="14" max="14" width="5.125" style="199" customWidth="1"/>
    <col min="15" max="16" width="9" style="199"/>
    <col min="17" max="17" width="10.625" style="199" customWidth="1"/>
    <col min="18" max="19" width="9" style="199"/>
    <col min="20" max="20" width="4.125" style="199" customWidth="1"/>
    <col min="21" max="22" width="9" style="199"/>
    <col min="23" max="23" width="4.125" style="199" customWidth="1"/>
    <col min="24" max="27" width="9" style="199"/>
    <col min="28" max="28" width="10.25" style="199" customWidth="1"/>
    <col min="29" max="16384" width="9" style="199"/>
  </cols>
  <sheetData>
    <row r="1" spans="1:18" ht="20.25">
      <c r="A1" s="302" t="s">
        <v>179</v>
      </c>
    </row>
    <row r="2" spans="1:18" ht="15.75">
      <c r="A2" s="303" t="s">
        <v>180</v>
      </c>
      <c r="J2" s="303" t="s">
        <v>181</v>
      </c>
      <c r="R2" s="303" t="s">
        <v>182</v>
      </c>
    </row>
    <row r="16" spans="1:18" ht="16.5">
      <c r="A16" s="660" t="s">
        <v>183</v>
      </c>
      <c r="B16" s="661"/>
      <c r="C16" s="661"/>
      <c r="D16" s="661"/>
      <c r="E16" s="661"/>
      <c r="F16" s="661"/>
    </row>
    <row r="17" spans="1:25" ht="15.75" customHeight="1">
      <c r="A17" s="302"/>
    </row>
    <row r="18" spans="1:25" ht="15.75" customHeight="1">
      <c r="A18" s="655" t="s">
        <v>184</v>
      </c>
      <c r="B18" s="649"/>
      <c r="C18" s="649"/>
      <c r="D18" s="649"/>
      <c r="E18" s="650"/>
      <c r="F18" s="656"/>
      <c r="G18" s="657"/>
      <c r="H18" s="657"/>
    </row>
    <row r="19" spans="1:25" ht="9.75" customHeight="1">
      <c r="A19" s="302"/>
    </row>
    <row r="20" spans="1:25" ht="48.75" customHeight="1">
      <c r="A20" s="655" t="s">
        <v>185</v>
      </c>
      <c r="B20" s="649"/>
      <c r="C20" s="649"/>
      <c r="D20" s="649"/>
      <c r="E20" s="650"/>
      <c r="F20" s="409">
        <v>0</v>
      </c>
    </row>
    <row r="21" spans="1:25" ht="15.75" customHeight="1">
      <c r="A21" s="302"/>
    </row>
    <row r="22" spans="1:25" ht="15.75">
      <c r="A22" s="303" t="s">
        <v>186</v>
      </c>
      <c r="F22" s="362" t="s">
        <v>187</v>
      </c>
      <c r="G22" s="658" t="s">
        <v>188</v>
      </c>
      <c r="H22" s="659"/>
    </row>
    <row r="23" spans="1:25" ht="33.75" customHeight="1">
      <c r="A23" s="648" t="s">
        <v>189</v>
      </c>
      <c r="B23" s="649"/>
      <c r="C23" s="649"/>
      <c r="D23" s="649"/>
      <c r="E23" s="650"/>
      <c r="F23" s="411">
        <v>0</v>
      </c>
      <c r="G23" s="651">
        <f>IF(F23=0,0,F23/$F$20)</f>
        <v>0</v>
      </c>
      <c r="H23" s="652"/>
    </row>
    <row r="24" spans="1:25" ht="15.75">
      <c r="A24" s="303" t="s">
        <v>190</v>
      </c>
      <c r="F24" s="309"/>
    </row>
    <row r="25" spans="1:25" ht="34.5" customHeight="1">
      <c r="A25" s="648" t="s">
        <v>191</v>
      </c>
      <c r="B25" s="649"/>
      <c r="C25" s="649"/>
      <c r="D25" s="649"/>
      <c r="E25" s="650"/>
      <c r="F25" s="411">
        <v>0</v>
      </c>
      <c r="G25" s="651">
        <f>IF(F25=0,0,F25/$F$20)</f>
        <v>0</v>
      </c>
      <c r="H25" s="652"/>
    </row>
    <row r="26" spans="1:25" ht="15.75">
      <c r="A26" s="303" t="s">
        <v>192</v>
      </c>
      <c r="F26" s="309"/>
      <c r="J26" s="310" t="s">
        <v>193</v>
      </c>
      <c r="K26" s="311"/>
      <c r="L26" s="311"/>
      <c r="M26" s="310" t="s">
        <v>194</v>
      </c>
      <c r="N26" s="311"/>
      <c r="O26" s="310" t="s">
        <v>195</v>
      </c>
      <c r="P26" s="311"/>
      <c r="Q26" s="311"/>
      <c r="R26" s="310" t="s">
        <v>195</v>
      </c>
      <c r="S26" s="311"/>
      <c r="T26" s="311"/>
      <c r="U26" s="310" t="str">
        <f>J26</f>
        <v>Base Product Costs</v>
      </c>
      <c r="V26" s="311"/>
      <c r="W26" s="311"/>
      <c r="X26" s="653" t="s">
        <v>196</v>
      </c>
      <c r="Y26" s="654"/>
    </row>
    <row r="27" spans="1:25" ht="60.75" customHeight="1">
      <c r="A27" s="648" t="s">
        <v>197</v>
      </c>
      <c r="B27" s="649"/>
      <c r="C27" s="649"/>
      <c r="D27" s="649"/>
      <c r="E27" s="650"/>
      <c r="F27" s="411">
        <v>0</v>
      </c>
      <c r="G27" s="651">
        <f>IF(F27=0,0,F27/$F$20)</f>
        <v>0</v>
      </c>
      <c r="H27" s="652"/>
      <c r="J27" s="651">
        <f>SUM(G23:H31)</f>
        <v>0</v>
      </c>
      <c r="K27" s="652"/>
      <c r="L27" s="312" t="s">
        <v>198</v>
      </c>
      <c r="M27" s="313">
        <v>0</v>
      </c>
      <c r="N27" s="312" t="s">
        <v>199</v>
      </c>
      <c r="O27" s="651">
        <f>J27*M27</f>
        <v>0</v>
      </c>
      <c r="P27" s="652"/>
      <c r="R27" s="651">
        <f>O27</f>
        <v>0</v>
      </c>
      <c r="S27" s="652"/>
      <c r="T27" s="312" t="s">
        <v>200</v>
      </c>
      <c r="U27" s="651">
        <f>J27</f>
        <v>0</v>
      </c>
      <c r="V27" s="652"/>
      <c r="W27" s="312" t="s">
        <v>199</v>
      </c>
      <c r="X27" s="651">
        <f>R27+U27</f>
        <v>0</v>
      </c>
      <c r="Y27" s="652"/>
    </row>
    <row r="28" spans="1:25" ht="15.75">
      <c r="A28" s="303" t="s">
        <v>201</v>
      </c>
      <c r="F28" s="309"/>
    </row>
    <row r="29" spans="1:25" ht="50.25" customHeight="1">
      <c r="A29" s="648" t="s">
        <v>202</v>
      </c>
      <c r="B29" s="649"/>
      <c r="C29" s="649"/>
      <c r="D29" s="649"/>
      <c r="E29" s="650"/>
      <c r="F29" s="411">
        <v>0</v>
      </c>
      <c r="G29" s="651">
        <f>IF(F29=0,0,F29/$F$20)</f>
        <v>0</v>
      </c>
      <c r="H29" s="652"/>
    </row>
    <row r="30" spans="1:25" ht="15.75">
      <c r="A30" s="303" t="s">
        <v>203</v>
      </c>
      <c r="F30" s="309"/>
      <c r="X30" s="653" t="s">
        <v>204</v>
      </c>
      <c r="Y30" s="654"/>
    </row>
    <row r="31" spans="1:25" ht="48.75" customHeight="1">
      <c r="A31" s="648" t="s">
        <v>205</v>
      </c>
      <c r="B31" s="649"/>
      <c r="C31" s="649"/>
      <c r="D31" s="649"/>
      <c r="E31" s="650"/>
      <c r="F31" s="411">
        <v>0</v>
      </c>
      <c r="G31" s="651">
        <f>IF(F31=0,0,F31/$F$20)</f>
        <v>0</v>
      </c>
      <c r="H31" s="652"/>
      <c r="X31" s="651">
        <f>X27*F20</f>
        <v>0</v>
      </c>
      <c r="Y31" s="652"/>
    </row>
    <row r="34" spans="1:25" ht="15.75" customHeight="1">
      <c r="A34" s="655" t="s">
        <v>206</v>
      </c>
      <c r="B34" s="649"/>
      <c r="C34" s="649"/>
      <c r="D34" s="649"/>
      <c r="E34" s="650"/>
      <c r="F34" s="656"/>
      <c r="G34" s="657"/>
      <c r="H34" s="657"/>
    </row>
    <row r="35" spans="1:25" ht="15.75" customHeight="1">
      <c r="A35" s="302"/>
    </row>
    <row r="36" spans="1:25" ht="47.25" customHeight="1">
      <c r="A36" s="655" t="s">
        <v>185</v>
      </c>
      <c r="B36" s="649"/>
      <c r="C36" s="649"/>
      <c r="D36" s="649"/>
      <c r="E36" s="650"/>
      <c r="F36" s="409">
        <v>0</v>
      </c>
    </row>
    <row r="37" spans="1:25" ht="25.5" customHeight="1">
      <c r="A37" s="302"/>
    </row>
    <row r="38" spans="1:25" ht="15.75">
      <c r="A38" s="303" t="s">
        <v>186</v>
      </c>
      <c r="F38" s="362" t="s">
        <v>187</v>
      </c>
      <c r="G38" s="658" t="s">
        <v>188</v>
      </c>
      <c r="H38" s="659"/>
    </row>
    <row r="39" spans="1:25" ht="33.75" customHeight="1">
      <c r="A39" s="648" t="s">
        <v>207</v>
      </c>
      <c r="B39" s="649"/>
      <c r="C39" s="649"/>
      <c r="D39" s="649"/>
      <c r="E39" s="650"/>
      <c r="F39" s="411">
        <v>0</v>
      </c>
      <c r="G39" s="651">
        <f>IF(F39=0,0,F39/$F$36)</f>
        <v>0</v>
      </c>
      <c r="H39" s="652"/>
    </row>
    <row r="40" spans="1:25" ht="15.75">
      <c r="A40" s="303" t="s">
        <v>190</v>
      </c>
      <c r="F40" s="309"/>
    </row>
    <row r="41" spans="1:25" ht="34.5" customHeight="1">
      <c r="A41" s="648" t="s">
        <v>191</v>
      </c>
      <c r="B41" s="649"/>
      <c r="C41" s="649"/>
      <c r="D41" s="649"/>
      <c r="E41" s="650"/>
      <c r="F41" s="411">
        <v>0</v>
      </c>
      <c r="G41" s="651">
        <f>IF(F41=0,0,F41/$F$36)</f>
        <v>0</v>
      </c>
      <c r="H41" s="652"/>
    </row>
    <row r="42" spans="1:25" ht="15.75">
      <c r="A42" s="303" t="s">
        <v>192</v>
      </c>
      <c r="F42" s="309"/>
      <c r="J42" s="310" t="s">
        <v>193</v>
      </c>
      <c r="K42" s="311"/>
      <c r="L42" s="311"/>
      <c r="M42" s="310" t="s">
        <v>194</v>
      </c>
      <c r="N42" s="311"/>
      <c r="O42" s="310" t="s">
        <v>195</v>
      </c>
      <c r="P42" s="311"/>
      <c r="Q42" s="311"/>
      <c r="R42" s="310" t="s">
        <v>195</v>
      </c>
      <c r="S42" s="311"/>
      <c r="T42" s="311"/>
      <c r="U42" s="310" t="str">
        <f>J42</f>
        <v>Base Product Costs</v>
      </c>
      <c r="V42" s="311"/>
      <c r="W42" s="311"/>
      <c r="X42" s="653" t="s">
        <v>196</v>
      </c>
      <c r="Y42" s="654"/>
    </row>
    <row r="43" spans="1:25" ht="60.75" customHeight="1">
      <c r="A43" s="648" t="s">
        <v>197</v>
      </c>
      <c r="B43" s="649"/>
      <c r="C43" s="649"/>
      <c r="D43" s="649"/>
      <c r="E43" s="650"/>
      <c r="F43" s="411">
        <v>0</v>
      </c>
      <c r="G43" s="651">
        <f>IF(F43=0,0,F43/$F$36)</f>
        <v>0</v>
      </c>
      <c r="H43" s="652"/>
      <c r="J43" s="651">
        <f>SUM(G39:H47)</f>
        <v>0</v>
      </c>
      <c r="K43" s="652"/>
      <c r="L43" s="312" t="s">
        <v>198</v>
      </c>
      <c r="M43" s="313">
        <v>0</v>
      </c>
      <c r="N43" s="312" t="s">
        <v>199</v>
      </c>
      <c r="O43" s="651">
        <f>J43*M43</f>
        <v>0</v>
      </c>
      <c r="P43" s="652"/>
      <c r="R43" s="651">
        <f>O43</f>
        <v>0</v>
      </c>
      <c r="S43" s="652"/>
      <c r="T43" s="312" t="s">
        <v>200</v>
      </c>
      <c r="U43" s="651">
        <f>J43</f>
        <v>0</v>
      </c>
      <c r="V43" s="652"/>
      <c r="W43" s="312" t="s">
        <v>199</v>
      </c>
      <c r="X43" s="651">
        <f>R43+U43</f>
        <v>0</v>
      </c>
      <c r="Y43" s="652"/>
    </row>
    <row r="44" spans="1:25" ht="15.75">
      <c r="A44" s="303" t="s">
        <v>201</v>
      </c>
      <c r="F44" s="309"/>
    </row>
    <row r="45" spans="1:25" ht="50.25" customHeight="1">
      <c r="A45" s="648" t="s">
        <v>202</v>
      </c>
      <c r="B45" s="649"/>
      <c r="C45" s="649"/>
      <c r="D45" s="649"/>
      <c r="E45" s="650"/>
      <c r="F45" s="411">
        <v>0</v>
      </c>
      <c r="G45" s="651">
        <f>IF(F45=0,0,F45/$F$36)</f>
        <v>0</v>
      </c>
      <c r="H45" s="652"/>
    </row>
    <row r="46" spans="1:25" ht="15.75">
      <c r="A46" s="303" t="s">
        <v>203</v>
      </c>
      <c r="F46" s="309"/>
      <c r="X46" s="653" t="s">
        <v>204</v>
      </c>
      <c r="Y46" s="654"/>
    </row>
    <row r="47" spans="1:25" ht="45" customHeight="1">
      <c r="A47" s="648" t="s">
        <v>205</v>
      </c>
      <c r="B47" s="649"/>
      <c r="C47" s="649"/>
      <c r="D47" s="649"/>
      <c r="E47" s="650"/>
      <c r="F47" s="411">
        <v>0</v>
      </c>
      <c r="G47" s="651">
        <f>IF(F47=0,0,F47/$F$36)</f>
        <v>0</v>
      </c>
      <c r="H47" s="652"/>
      <c r="X47" s="651">
        <f>X43*F36</f>
        <v>0</v>
      </c>
      <c r="Y47" s="652"/>
    </row>
    <row r="50" spans="1:28" ht="15.75" customHeight="1">
      <c r="A50" s="655" t="s">
        <v>208</v>
      </c>
      <c r="B50" s="649"/>
      <c r="C50" s="649"/>
      <c r="D50" s="649"/>
      <c r="E50" s="650"/>
      <c r="F50" s="656"/>
      <c r="G50" s="657"/>
      <c r="H50" s="657"/>
    </row>
    <row r="51" spans="1:28" ht="15.75" customHeight="1">
      <c r="A51" s="302"/>
    </row>
    <row r="52" spans="1:28" ht="46.5" customHeight="1">
      <c r="A52" s="655" t="s">
        <v>185</v>
      </c>
      <c r="B52" s="649"/>
      <c r="C52" s="649"/>
      <c r="D52" s="649"/>
      <c r="E52" s="650"/>
      <c r="F52" s="409">
        <v>0</v>
      </c>
    </row>
    <row r="53" spans="1:28" ht="15.75" customHeight="1">
      <c r="A53" s="302"/>
    </row>
    <row r="54" spans="1:28" ht="15.75">
      <c r="A54" s="303" t="s">
        <v>186</v>
      </c>
      <c r="F54" s="362" t="s">
        <v>187</v>
      </c>
      <c r="G54" s="658" t="s">
        <v>188</v>
      </c>
      <c r="H54" s="659"/>
    </row>
    <row r="55" spans="1:28" ht="33.75" customHeight="1">
      <c r="A55" s="648" t="s">
        <v>209</v>
      </c>
      <c r="B55" s="649"/>
      <c r="C55" s="649"/>
      <c r="D55" s="649"/>
      <c r="E55" s="650"/>
      <c r="F55" s="411">
        <v>0</v>
      </c>
      <c r="G55" s="651">
        <f>IF(F55=0, 0,F55/$F$52)</f>
        <v>0</v>
      </c>
      <c r="H55" s="652"/>
    </row>
    <row r="56" spans="1:28" ht="15.75">
      <c r="A56" s="303" t="s">
        <v>190</v>
      </c>
      <c r="F56" s="309"/>
    </row>
    <row r="57" spans="1:28" ht="34.5" customHeight="1">
      <c r="A57" s="648" t="s">
        <v>191</v>
      </c>
      <c r="B57" s="649"/>
      <c r="C57" s="649"/>
      <c r="D57" s="649"/>
      <c r="E57" s="650"/>
      <c r="F57" s="411">
        <v>0</v>
      </c>
      <c r="G57" s="651">
        <f>IF(F57=0, 0,F57/$F$52)</f>
        <v>0</v>
      </c>
      <c r="H57" s="652"/>
    </row>
    <row r="58" spans="1:28" ht="15.75">
      <c r="A58" s="303" t="s">
        <v>192</v>
      </c>
      <c r="F58" s="309"/>
      <c r="J58" s="310" t="s">
        <v>193</v>
      </c>
      <c r="K58" s="311"/>
      <c r="L58" s="311"/>
      <c r="M58" s="310" t="s">
        <v>194</v>
      </c>
      <c r="N58" s="311"/>
      <c r="O58" s="310" t="s">
        <v>195</v>
      </c>
      <c r="P58" s="311"/>
      <c r="Q58" s="311"/>
      <c r="R58" s="310" t="s">
        <v>195</v>
      </c>
      <c r="S58" s="311"/>
      <c r="T58" s="311"/>
      <c r="U58" s="310" t="str">
        <f>J58</f>
        <v>Base Product Costs</v>
      </c>
      <c r="V58" s="311"/>
      <c r="W58" s="311"/>
      <c r="X58" s="653" t="s">
        <v>196</v>
      </c>
      <c r="Y58" s="654"/>
    </row>
    <row r="59" spans="1:28" ht="60.75" customHeight="1">
      <c r="A59" s="648" t="s">
        <v>197</v>
      </c>
      <c r="B59" s="649"/>
      <c r="C59" s="649"/>
      <c r="D59" s="649"/>
      <c r="E59" s="650"/>
      <c r="F59" s="411">
        <v>0</v>
      </c>
      <c r="G59" s="651">
        <f>IF(F59=0, 0,F59/$F$52)</f>
        <v>0</v>
      </c>
      <c r="H59" s="652"/>
      <c r="J59" s="651">
        <f>SUM(G55:H63)</f>
        <v>0</v>
      </c>
      <c r="K59" s="652"/>
      <c r="L59" s="312" t="s">
        <v>198</v>
      </c>
      <c r="M59" s="313">
        <v>0</v>
      </c>
      <c r="N59" s="312" t="s">
        <v>199</v>
      </c>
      <c r="O59" s="651">
        <f>J59*M59</f>
        <v>0</v>
      </c>
      <c r="P59" s="652"/>
      <c r="R59" s="651">
        <f>O59</f>
        <v>0</v>
      </c>
      <c r="S59" s="652"/>
      <c r="T59" s="312" t="s">
        <v>200</v>
      </c>
      <c r="U59" s="651">
        <f>J59</f>
        <v>0</v>
      </c>
      <c r="V59" s="652"/>
      <c r="W59" s="312" t="s">
        <v>199</v>
      </c>
      <c r="X59" s="651">
        <f>R59+U59</f>
        <v>0</v>
      </c>
      <c r="Y59" s="652"/>
    </row>
    <row r="60" spans="1:28" ht="15.75">
      <c r="A60" s="303" t="s">
        <v>201</v>
      </c>
      <c r="F60" s="309"/>
    </row>
    <row r="61" spans="1:28" ht="50.25" customHeight="1">
      <c r="A61" s="648" t="s">
        <v>202</v>
      </c>
      <c r="B61" s="649"/>
      <c r="C61" s="649"/>
      <c r="D61" s="649"/>
      <c r="E61" s="650"/>
      <c r="F61" s="411">
        <v>0</v>
      </c>
      <c r="G61" s="651">
        <f>IF(F61=0, 0,F61/$F$52)</f>
        <v>0</v>
      </c>
      <c r="H61" s="652"/>
    </row>
    <row r="62" spans="1:28" ht="39" customHeight="1">
      <c r="A62" s="303" t="s">
        <v>203</v>
      </c>
      <c r="F62" s="309"/>
      <c r="X62" s="653" t="s">
        <v>204</v>
      </c>
      <c r="Y62" s="654"/>
      <c r="AA62" s="646" t="s">
        <v>210</v>
      </c>
      <c r="AB62" s="647"/>
    </row>
    <row r="63" spans="1:28" ht="46.5" customHeight="1">
      <c r="A63" s="648" t="s">
        <v>205</v>
      </c>
      <c r="B63" s="649"/>
      <c r="C63" s="649"/>
      <c r="D63" s="649"/>
      <c r="E63" s="650"/>
      <c r="F63" s="411">
        <v>0</v>
      </c>
      <c r="G63" s="651">
        <f>IF(F63=0, 0,F63/$F$52)</f>
        <v>0</v>
      </c>
      <c r="H63" s="652"/>
      <c r="X63" s="651">
        <f>X59*F52</f>
        <v>0</v>
      </c>
      <c r="Y63" s="652"/>
      <c r="AA63" s="644">
        <f>X31+X47+X63</f>
        <v>0</v>
      </c>
      <c r="AB63" s="645"/>
    </row>
    <row r="65" spans="27:28" ht="24" customHeight="1">
      <c r="AA65" s="379" t="s">
        <v>211</v>
      </c>
      <c r="AB65" s="385"/>
    </row>
  </sheetData>
  <sheetProtection sheet="1" objects="1" scenarios="1"/>
  <mergeCells count="69">
    <mergeCell ref="J27:K27"/>
    <mergeCell ref="O27:P27"/>
    <mergeCell ref="A27:E27"/>
    <mergeCell ref="A29:E29"/>
    <mergeCell ref="G23:H23"/>
    <mergeCell ref="G25:H25"/>
    <mergeCell ref="G27:H27"/>
    <mergeCell ref="A31:E31"/>
    <mergeCell ref="A16:F16"/>
    <mergeCell ref="X31:Y31"/>
    <mergeCell ref="X26:Y26"/>
    <mergeCell ref="X30:Y30"/>
    <mergeCell ref="A18:E18"/>
    <mergeCell ref="F18:H18"/>
    <mergeCell ref="R27:S27"/>
    <mergeCell ref="U27:V27"/>
    <mergeCell ref="X27:Y27"/>
    <mergeCell ref="G22:H22"/>
    <mergeCell ref="A20:E20"/>
    <mergeCell ref="A23:E23"/>
    <mergeCell ref="A25:E25"/>
    <mergeCell ref="G29:H29"/>
    <mergeCell ref="G31:H31"/>
    <mergeCell ref="A34:E34"/>
    <mergeCell ref="F34:H34"/>
    <mergeCell ref="A36:E36"/>
    <mergeCell ref="G38:H38"/>
    <mergeCell ref="A39:E39"/>
    <mergeCell ref="G39:H39"/>
    <mergeCell ref="A41:E41"/>
    <mergeCell ref="G41:H41"/>
    <mergeCell ref="X42:Y42"/>
    <mergeCell ref="A43:E43"/>
    <mergeCell ref="G43:H43"/>
    <mergeCell ref="J43:K43"/>
    <mergeCell ref="O43:P43"/>
    <mergeCell ref="R43:S43"/>
    <mergeCell ref="U43:V43"/>
    <mergeCell ref="X43:Y43"/>
    <mergeCell ref="A45:E45"/>
    <mergeCell ref="G45:H45"/>
    <mergeCell ref="X46:Y46"/>
    <mergeCell ref="A47:E47"/>
    <mergeCell ref="G47:H47"/>
    <mergeCell ref="X47:Y47"/>
    <mergeCell ref="A50:E50"/>
    <mergeCell ref="F50:H50"/>
    <mergeCell ref="A52:E52"/>
    <mergeCell ref="G54:H54"/>
    <mergeCell ref="A55:E55"/>
    <mergeCell ref="G55:H55"/>
    <mergeCell ref="A57:E57"/>
    <mergeCell ref="G57:H57"/>
    <mergeCell ref="X58:Y58"/>
    <mergeCell ref="A59:E59"/>
    <mergeCell ref="G59:H59"/>
    <mergeCell ref="J59:K59"/>
    <mergeCell ref="O59:P59"/>
    <mergeCell ref="R59:S59"/>
    <mergeCell ref="U59:V59"/>
    <mergeCell ref="X59:Y59"/>
    <mergeCell ref="AA63:AB63"/>
    <mergeCell ref="AA62:AB62"/>
    <mergeCell ref="A61:E61"/>
    <mergeCell ref="G61:H61"/>
    <mergeCell ref="X62:Y62"/>
    <mergeCell ref="A63:E63"/>
    <mergeCell ref="G63:H63"/>
    <mergeCell ref="X63:Y63"/>
  </mergeCells>
  <dataValidations count="1">
    <dataValidation type="decimal" operator="greaterThanOrEqual" allowBlank="1" showInputMessage="1" showErrorMessage="1" error="Only numbers" sqref="F20 F23 F25 F27 F29 F31 F36 F39 F41 F43 F45 F47 F52 F55 F57 F59 F61 F63 M27 M43 M59" xr:uid="{607713E5-4318-4D8A-AD1D-77B8E8A24EEA}">
      <formula1>0</formula1>
    </dataValidation>
  </dataValidations>
  <hyperlinks>
    <hyperlink ref="AA65" location="'Revenue Streams'!A1" display="Back Revenue Streams" xr:uid="{C269791C-4147-4154-9C7E-6141487DD8B4}"/>
  </hyperlinks>
  <pageMargins left="0.7" right="0.7" top="0.75" bottom="0.75" header="0.3" footer="0.3"/>
  <pageSetup scale="3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F0ED6-5D36-4417-8603-2F9B47B44A8F}">
  <sheetPr codeName="Sheet21">
    <pageSetUpPr fitToPage="1"/>
  </sheetPr>
  <dimension ref="A1:AB57"/>
  <sheetViews>
    <sheetView zoomScaleNormal="100" workbookViewId="0">
      <selection activeCell="AB60" sqref="AB60"/>
    </sheetView>
  </sheetViews>
  <sheetFormatPr defaultColWidth="9" defaultRowHeight="15"/>
  <cols>
    <col min="1" max="5" width="9" style="199"/>
    <col min="6" max="6" width="17.25" style="199" customWidth="1"/>
    <col min="7" max="8" width="9" style="199"/>
    <col min="9" max="9" width="9" style="199" customWidth="1"/>
    <col min="10" max="11" width="9" style="199"/>
    <col min="12" max="12" width="5.375" style="199" customWidth="1"/>
    <col min="13" max="13" width="9" style="199"/>
    <col min="14" max="14" width="5.125" style="199" customWidth="1"/>
    <col min="15" max="16" width="9" style="199"/>
    <col min="17" max="17" width="10.625" style="199" customWidth="1"/>
    <col min="18" max="19" width="9" style="199"/>
    <col min="20" max="20" width="4.125" style="199" customWidth="1"/>
    <col min="21" max="22" width="9" style="199"/>
    <col min="23" max="23" width="4.125" style="199" customWidth="1"/>
    <col min="24" max="27" width="9" style="199"/>
    <col min="28" max="28" width="10.25" style="199" customWidth="1"/>
    <col min="29" max="16384" width="9" style="199"/>
  </cols>
  <sheetData>
    <row r="1" spans="1:18" ht="20.25">
      <c r="A1" s="302" t="s">
        <v>179</v>
      </c>
    </row>
    <row r="2" spans="1:18" ht="15.75">
      <c r="A2" s="303" t="s">
        <v>180</v>
      </c>
      <c r="J2" s="303" t="s">
        <v>181</v>
      </c>
      <c r="R2" s="303" t="s">
        <v>182</v>
      </c>
    </row>
    <row r="3" spans="1:18" ht="15.75">
      <c r="J3"/>
      <c r="R3"/>
    </row>
    <row r="6" spans="1:18" ht="15.75">
      <c r="B6"/>
    </row>
    <row r="15" spans="1:18" ht="23.25" customHeight="1"/>
    <row r="16" spans="1:18" ht="16.5">
      <c r="A16" s="660" t="s">
        <v>183</v>
      </c>
      <c r="B16" s="661"/>
      <c r="C16" s="661"/>
      <c r="D16" s="661"/>
      <c r="E16" s="661"/>
      <c r="F16" s="661"/>
    </row>
    <row r="17" spans="1:25" ht="15.75" customHeight="1">
      <c r="A17" s="302"/>
    </row>
    <row r="18" spans="1:25" ht="15.75" customHeight="1">
      <c r="A18" s="655" t="s">
        <v>212</v>
      </c>
      <c r="B18" s="649"/>
      <c r="C18" s="649"/>
      <c r="D18" s="649"/>
      <c r="E18" s="650"/>
      <c r="F18" s="656"/>
      <c r="G18" s="657"/>
      <c r="H18" s="657"/>
    </row>
    <row r="19" spans="1:25" ht="31.5">
      <c r="A19" s="302"/>
      <c r="C19" s="304"/>
      <c r="D19" s="305" t="s">
        <v>213</v>
      </c>
      <c r="E19" s="305" t="s">
        <v>214</v>
      </c>
    </row>
    <row r="20" spans="1:25" ht="49.5" customHeight="1">
      <c r="A20" s="655" t="s">
        <v>215</v>
      </c>
      <c r="B20" s="665"/>
      <c r="C20" s="666"/>
      <c r="D20" s="306">
        <v>0</v>
      </c>
      <c r="E20" s="306">
        <v>0</v>
      </c>
      <c r="F20" s="307">
        <f>D20*E20</f>
        <v>0</v>
      </c>
    </row>
    <row r="21" spans="1:25" ht="15.75" customHeight="1">
      <c r="A21" s="302"/>
    </row>
    <row r="22" spans="1:25" ht="31.5">
      <c r="A22" s="303" t="s">
        <v>216</v>
      </c>
      <c r="F22" s="308" t="s">
        <v>217</v>
      </c>
      <c r="G22" s="658" t="s">
        <v>187</v>
      </c>
      <c r="H22" s="659"/>
    </row>
    <row r="23" spans="1:25" ht="33.75" customHeight="1">
      <c r="A23" s="648" t="s">
        <v>218</v>
      </c>
      <c r="B23" s="649"/>
      <c r="C23" s="649"/>
      <c r="D23" s="649"/>
      <c r="E23" s="650"/>
      <c r="F23" s="411">
        <v>0</v>
      </c>
      <c r="G23" s="651">
        <f>F23*F20</f>
        <v>0</v>
      </c>
      <c r="H23" s="652"/>
    </row>
    <row r="24" spans="1:25" ht="15.75">
      <c r="A24" s="303" t="s">
        <v>190</v>
      </c>
      <c r="F24" s="309"/>
    </row>
    <row r="25" spans="1:25" ht="34.5" customHeight="1">
      <c r="A25" s="648" t="s">
        <v>191</v>
      </c>
      <c r="B25" s="649"/>
      <c r="C25" s="649"/>
      <c r="D25" s="649"/>
      <c r="E25" s="650"/>
      <c r="F25" s="408">
        <f>IF(ISERR(G25/F20),0,(G25/F20))</f>
        <v>0</v>
      </c>
      <c r="G25" s="664">
        <v>0</v>
      </c>
      <c r="H25" s="664"/>
    </row>
    <row r="26" spans="1:25" ht="15.75">
      <c r="A26" s="303" t="s">
        <v>203</v>
      </c>
      <c r="F26" s="309"/>
      <c r="J26" s="310" t="s">
        <v>219</v>
      </c>
      <c r="K26" s="311"/>
      <c r="L26" s="311"/>
      <c r="M26" s="310" t="s">
        <v>194</v>
      </c>
      <c r="N26" s="311"/>
      <c r="O26" s="310" t="s">
        <v>195</v>
      </c>
      <c r="P26" s="311"/>
      <c r="Q26" s="311"/>
      <c r="R26" s="310" t="s">
        <v>195</v>
      </c>
      <c r="S26" s="311"/>
      <c r="T26" s="311"/>
      <c r="U26" s="310" t="str">
        <f>J26</f>
        <v>Base Menu Costs</v>
      </c>
      <c r="V26" s="311"/>
      <c r="W26" s="311"/>
      <c r="X26" s="653" t="s">
        <v>220</v>
      </c>
      <c r="Y26" s="653"/>
    </row>
    <row r="27" spans="1:25" ht="60.75" customHeight="1">
      <c r="A27" s="648" t="s">
        <v>205</v>
      </c>
      <c r="B27" s="649"/>
      <c r="C27" s="649"/>
      <c r="D27" s="649"/>
      <c r="E27" s="650"/>
      <c r="F27" s="408">
        <f>IF(ISERR(G27/F20),0,G27/F20)</f>
        <v>0</v>
      </c>
      <c r="G27" s="664">
        <v>0</v>
      </c>
      <c r="H27" s="664"/>
      <c r="J27" s="662">
        <f>SUM(F23:F29)</f>
        <v>0</v>
      </c>
      <c r="K27" s="663"/>
      <c r="L27" s="312" t="s">
        <v>221</v>
      </c>
      <c r="M27" s="313">
        <v>0</v>
      </c>
      <c r="N27" s="312" t="s">
        <v>199</v>
      </c>
      <c r="O27" s="662">
        <f>J27*M27</f>
        <v>0</v>
      </c>
      <c r="P27" s="663"/>
      <c r="R27" s="662">
        <f>O27</f>
        <v>0</v>
      </c>
      <c r="S27" s="663"/>
      <c r="T27" s="312" t="s">
        <v>200</v>
      </c>
      <c r="U27" s="662">
        <f>J27</f>
        <v>0</v>
      </c>
      <c r="V27" s="663"/>
      <c r="W27" s="312" t="s">
        <v>199</v>
      </c>
      <c r="X27" s="662">
        <f>R27+U27</f>
        <v>0</v>
      </c>
      <c r="Y27" s="663"/>
    </row>
    <row r="28" spans="1:25" ht="15.75">
      <c r="A28" s="303" t="s">
        <v>201</v>
      </c>
      <c r="F28" s="309"/>
      <c r="X28" s="653" t="s">
        <v>204</v>
      </c>
      <c r="Y28" s="654"/>
    </row>
    <row r="29" spans="1:25" ht="50.25" customHeight="1">
      <c r="A29" s="648" t="s">
        <v>222</v>
      </c>
      <c r="B29" s="649"/>
      <c r="C29" s="649"/>
      <c r="D29" s="649"/>
      <c r="E29" s="650"/>
      <c r="F29" s="408">
        <f>IF(ISERR(G29/F20),0,G29/F20)</f>
        <v>0</v>
      </c>
      <c r="G29" s="664">
        <v>0</v>
      </c>
      <c r="H29" s="664"/>
      <c r="X29" s="651">
        <f>X27*F20</f>
        <v>0</v>
      </c>
      <c r="Y29" s="652"/>
    </row>
    <row r="30" spans="1:25" ht="15.75">
      <c r="A30" s="420"/>
      <c r="B30" s="421"/>
      <c r="C30" s="421"/>
      <c r="D30" s="421"/>
      <c r="E30" s="421"/>
      <c r="F30" s="422"/>
      <c r="G30" s="421"/>
      <c r="H30" s="421"/>
    </row>
    <row r="31" spans="1:25" ht="15.75" customHeight="1">
      <c r="A31" s="655" t="s">
        <v>223</v>
      </c>
      <c r="B31" s="649"/>
      <c r="C31" s="649"/>
      <c r="D31" s="649"/>
      <c r="E31" s="650"/>
      <c r="F31" s="656"/>
      <c r="G31" s="657"/>
      <c r="H31" s="657"/>
    </row>
    <row r="32" spans="1:25" ht="31.5">
      <c r="A32" s="302"/>
      <c r="C32" s="304"/>
      <c r="D32" s="305" t="s">
        <v>213</v>
      </c>
      <c r="E32" s="305" t="s">
        <v>214</v>
      </c>
    </row>
    <row r="33" spans="1:25" ht="49.5" customHeight="1">
      <c r="A33" s="655" t="s">
        <v>215</v>
      </c>
      <c r="B33" s="665"/>
      <c r="C33" s="666"/>
      <c r="D33" s="306">
        <v>0</v>
      </c>
      <c r="E33" s="306">
        <v>0</v>
      </c>
      <c r="F33" s="307">
        <f>D33*E33</f>
        <v>0</v>
      </c>
    </row>
    <row r="34" spans="1:25" ht="15.75" customHeight="1">
      <c r="A34" s="302"/>
    </row>
    <row r="35" spans="1:25" ht="31.5">
      <c r="A35" s="303" t="s">
        <v>216</v>
      </c>
      <c r="F35" s="308" t="s">
        <v>217</v>
      </c>
      <c r="G35" s="658" t="s">
        <v>187</v>
      </c>
      <c r="H35" s="659"/>
    </row>
    <row r="36" spans="1:25" ht="33.75" customHeight="1">
      <c r="A36" s="648" t="s">
        <v>224</v>
      </c>
      <c r="B36" s="649"/>
      <c r="C36" s="649"/>
      <c r="D36" s="649"/>
      <c r="E36" s="650"/>
      <c r="F36" s="411">
        <v>0</v>
      </c>
      <c r="G36" s="651">
        <f>F36*F33</f>
        <v>0</v>
      </c>
      <c r="H36" s="652"/>
    </row>
    <row r="37" spans="1:25" ht="15.75">
      <c r="A37" s="303" t="s">
        <v>190</v>
      </c>
      <c r="F37" s="309"/>
    </row>
    <row r="38" spans="1:25" ht="34.5" customHeight="1">
      <c r="A38" s="648" t="s">
        <v>191</v>
      </c>
      <c r="B38" s="649"/>
      <c r="C38" s="649"/>
      <c r="D38" s="649"/>
      <c r="E38" s="650"/>
      <c r="F38" s="408">
        <f>IF(ISERR(G38/F33),0,G38/F33)</f>
        <v>0</v>
      </c>
      <c r="G38" s="664">
        <v>0</v>
      </c>
      <c r="H38" s="664"/>
    </row>
    <row r="39" spans="1:25" ht="15.75">
      <c r="A39" s="303" t="s">
        <v>203</v>
      </c>
      <c r="F39" s="309"/>
      <c r="J39" s="310" t="s">
        <v>219</v>
      </c>
      <c r="K39" s="311"/>
      <c r="L39" s="311"/>
      <c r="M39" s="310" t="s">
        <v>194</v>
      </c>
      <c r="N39" s="311"/>
      <c r="O39" s="310" t="s">
        <v>195</v>
      </c>
      <c r="P39" s="311"/>
      <c r="Q39" s="311"/>
      <c r="R39" s="310" t="s">
        <v>195</v>
      </c>
      <c r="S39" s="311"/>
      <c r="T39" s="311"/>
      <c r="U39" s="310" t="str">
        <f>J39</f>
        <v>Base Menu Costs</v>
      </c>
      <c r="V39" s="311"/>
      <c r="W39" s="311"/>
      <c r="X39" s="653" t="s">
        <v>220</v>
      </c>
      <c r="Y39" s="653"/>
    </row>
    <row r="40" spans="1:25" ht="60.75" customHeight="1">
      <c r="A40" s="648" t="s">
        <v>205</v>
      </c>
      <c r="B40" s="649"/>
      <c r="C40" s="649"/>
      <c r="D40" s="649"/>
      <c r="E40" s="650"/>
      <c r="F40" s="408">
        <f>IF(ISERR(G40/F33),0,G40/F33)</f>
        <v>0</v>
      </c>
      <c r="G40" s="664">
        <v>0</v>
      </c>
      <c r="H40" s="664"/>
      <c r="J40" s="662">
        <f>SUM(F36:F42)</f>
        <v>0</v>
      </c>
      <c r="K40" s="663"/>
      <c r="L40" s="312" t="s">
        <v>221</v>
      </c>
      <c r="M40" s="313">
        <v>0</v>
      </c>
      <c r="N40" s="312" t="s">
        <v>199</v>
      </c>
      <c r="O40" s="662">
        <f>J40*M40</f>
        <v>0</v>
      </c>
      <c r="P40" s="663"/>
      <c r="R40" s="662">
        <f>O40</f>
        <v>0</v>
      </c>
      <c r="S40" s="663"/>
      <c r="T40" s="312" t="s">
        <v>200</v>
      </c>
      <c r="U40" s="662">
        <f>J40</f>
        <v>0</v>
      </c>
      <c r="V40" s="663"/>
      <c r="W40" s="312" t="s">
        <v>199</v>
      </c>
      <c r="X40" s="662">
        <f>R40+U40</f>
        <v>0</v>
      </c>
      <c r="Y40" s="663"/>
    </row>
    <row r="41" spans="1:25" ht="15.75">
      <c r="A41" s="303" t="s">
        <v>201</v>
      </c>
      <c r="F41" s="309"/>
      <c r="X41" s="653" t="s">
        <v>204</v>
      </c>
      <c r="Y41" s="654"/>
    </row>
    <row r="42" spans="1:25" ht="50.25" customHeight="1">
      <c r="A42" s="648" t="s">
        <v>222</v>
      </c>
      <c r="B42" s="649"/>
      <c r="C42" s="649"/>
      <c r="D42" s="649"/>
      <c r="E42" s="650"/>
      <c r="F42" s="408">
        <f>IF(ISERR(G42/F33),0,G42/F33)</f>
        <v>0</v>
      </c>
      <c r="G42" s="664">
        <v>0</v>
      </c>
      <c r="H42" s="664"/>
      <c r="X42" s="651">
        <f>X40*F33</f>
        <v>0</v>
      </c>
      <c r="Y42" s="652"/>
    </row>
    <row r="44" spans="1:25" ht="15.75" customHeight="1">
      <c r="A44" s="655" t="s">
        <v>225</v>
      </c>
      <c r="B44" s="649"/>
      <c r="C44" s="649"/>
      <c r="D44" s="649"/>
      <c r="E44" s="650"/>
      <c r="F44" s="656"/>
      <c r="G44" s="657"/>
      <c r="H44" s="657"/>
    </row>
    <row r="45" spans="1:25" ht="31.5">
      <c r="A45" s="302"/>
      <c r="C45" s="304"/>
      <c r="D45" s="305" t="s">
        <v>213</v>
      </c>
      <c r="E45" s="305" t="s">
        <v>214</v>
      </c>
    </row>
    <row r="46" spans="1:25" ht="49.5" customHeight="1">
      <c r="A46" s="655" t="s">
        <v>215</v>
      </c>
      <c r="B46" s="665"/>
      <c r="C46" s="666"/>
      <c r="D46" s="306">
        <v>0</v>
      </c>
      <c r="E46" s="306">
        <v>0</v>
      </c>
      <c r="F46" s="307">
        <f>D46*E46</f>
        <v>0</v>
      </c>
    </row>
    <row r="47" spans="1:25" ht="15.75" customHeight="1">
      <c r="A47" s="302"/>
    </row>
    <row r="48" spans="1:25" ht="31.5">
      <c r="A48" s="303" t="s">
        <v>216</v>
      </c>
      <c r="F48" s="308" t="s">
        <v>217</v>
      </c>
      <c r="G48" s="658" t="s">
        <v>187</v>
      </c>
      <c r="H48" s="659"/>
    </row>
    <row r="49" spans="1:28" ht="33.75" customHeight="1">
      <c r="A49" s="648" t="s">
        <v>226</v>
      </c>
      <c r="B49" s="649"/>
      <c r="C49" s="649"/>
      <c r="D49" s="649"/>
      <c r="E49" s="650"/>
      <c r="F49" s="411">
        <v>0</v>
      </c>
      <c r="G49" s="651">
        <f>F49*F46</f>
        <v>0</v>
      </c>
      <c r="H49" s="652"/>
    </row>
    <row r="50" spans="1:28" ht="15.75">
      <c r="A50" s="303" t="s">
        <v>190</v>
      </c>
      <c r="F50" s="309"/>
    </row>
    <row r="51" spans="1:28" ht="34.5" customHeight="1">
      <c r="A51" s="648" t="s">
        <v>191</v>
      </c>
      <c r="B51" s="649"/>
      <c r="C51" s="649"/>
      <c r="D51" s="649"/>
      <c r="E51" s="650"/>
      <c r="F51" s="408">
        <f>IF(ISERR(G51/F46),0,G51/F46)</f>
        <v>0</v>
      </c>
      <c r="G51" s="664">
        <v>0</v>
      </c>
      <c r="H51" s="664"/>
    </row>
    <row r="52" spans="1:28" ht="15.75">
      <c r="A52" s="303" t="s">
        <v>203</v>
      </c>
      <c r="F52" s="309"/>
      <c r="J52" s="310" t="s">
        <v>219</v>
      </c>
      <c r="K52" s="311"/>
      <c r="L52" s="311"/>
      <c r="M52" s="310" t="s">
        <v>194</v>
      </c>
      <c r="N52" s="311"/>
      <c r="O52" s="310" t="s">
        <v>195</v>
      </c>
      <c r="P52" s="311"/>
      <c r="Q52" s="311"/>
      <c r="R52" s="310" t="s">
        <v>195</v>
      </c>
      <c r="S52" s="311"/>
      <c r="T52" s="311"/>
      <c r="U52" s="310" t="str">
        <f>J52</f>
        <v>Base Menu Costs</v>
      </c>
      <c r="V52" s="311"/>
      <c r="W52" s="311"/>
      <c r="X52" s="653" t="s">
        <v>220</v>
      </c>
      <c r="Y52" s="653"/>
    </row>
    <row r="53" spans="1:28" ht="60.75" customHeight="1">
      <c r="A53" s="648" t="s">
        <v>205</v>
      </c>
      <c r="B53" s="649"/>
      <c r="C53" s="649"/>
      <c r="D53" s="649"/>
      <c r="E53" s="650"/>
      <c r="F53" s="408">
        <f>IF(ISERR(G53/F46),0,G53/F46)</f>
        <v>0</v>
      </c>
      <c r="G53" s="664">
        <v>0</v>
      </c>
      <c r="H53" s="664"/>
      <c r="J53" s="662">
        <f>SUM(F49:F55)</f>
        <v>0</v>
      </c>
      <c r="K53" s="663"/>
      <c r="L53" s="312" t="s">
        <v>221</v>
      </c>
      <c r="M53" s="313">
        <v>0</v>
      </c>
      <c r="N53" s="312" t="s">
        <v>199</v>
      </c>
      <c r="O53" s="662">
        <f>J53*M53</f>
        <v>0</v>
      </c>
      <c r="P53" s="663"/>
      <c r="R53" s="662">
        <f>O53</f>
        <v>0</v>
      </c>
      <c r="S53" s="663"/>
      <c r="T53" s="312" t="s">
        <v>200</v>
      </c>
      <c r="U53" s="662">
        <f>J53</f>
        <v>0</v>
      </c>
      <c r="V53" s="663"/>
      <c r="W53" s="312" t="s">
        <v>199</v>
      </c>
      <c r="X53" s="662">
        <f>R53+U53</f>
        <v>0</v>
      </c>
      <c r="Y53" s="663"/>
    </row>
    <row r="54" spans="1:28" ht="37.5" customHeight="1">
      <c r="A54" s="303" t="s">
        <v>201</v>
      </c>
      <c r="F54" s="309"/>
      <c r="X54" s="653" t="s">
        <v>204</v>
      </c>
      <c r="Y54" s="654"/>
      <c r="AA54" s="646" t="s">
        <v>210</v>
      </c>
      <c r="AB54" s="647"/>
    </row>
    <row r="55" spans="1:28" ht="50.25" customHeight="1">
      <c r="A55" s="648" t="s">
        <v>222</v>
      </c>
      <c r="B55" s="649"/>
      <c r="C55" s="649"/>
      <c r="D55" s="649"/>
      <c r="E55" s="650"/>
      <c r="F55" s="408">
        <f>IF(ISERR(G55/F46),0,G55/F46)</f>
        <v>0</v>
      </c>
      <c r="G55" s="664">
        <v>0</v>
      </c>
      <c r="H55" s="664"/>
      <c r="X55" s="651">
        <f>X53*F46</f>
        <v>0</v>
      </c>
      <c r="Y55" s="652"/>
      <c r="AA55" s="644">
        <f>X29+X42+X55</f>
        <v>0</v>
      </c>
      <c r="AB55" s="645"/>
    </row>
    <row r="57" spans="1:28" ht="15.75">
      <c r="AA57" s="379" t="s">
        <v>211</v>
      </c>
      <c r="AB57" s="385"/>
    </row>
  </sheetData>
  <sheetProtection sheet="1" objects="1" scenarios="1"/>
  <mergeCells count="63">
    <mergeCell ref="A25:E25"/>
    <mergeCell ref="G25:H25"/>
    <mergeCell ref="A27:E27"/>
    <mergeCell ref="G27:H27"/>
    <mergeCell ref="A16:F16"/>
    <mergeCell ref="A18:E18"/>
    <mergeCell ref="F18:H18"/>
    <mergeCell ref="G22:H22"/>
    <mergeCell ref="A23:E23"/>
    <mergeCell ref="G23:H23"/>
    <mergeCell ref="A20:C20"/>
    <mergeCell ref="X26:Y26"/>
    <mergeCell ref="A55:E55"/>
    <mergeCell ref="G55:H55"/>
    <mergeCell ref="A53:E53"/>
    <mergeCell ref="G53:H53"/>
    <mergeCell ref="X42:Y42"/>
    <mergeCell ref="A36:E36"/>
    <mergeCell ref="G38:H38"/>
    <mergeCell ref="A29:E29"/>
    <mergeCell ref="G29:H29"/>
    <mergeCell ref="X28:Y28"/>
    <mergeCell ref="X29:Y29"/>
    <mergeCell ref="A38:E38"/>
    <mergeCell ref="X27:Y27"/>
    <mergeCell ref="U27:V27"/>
    <mergeCell ref="R27:S27"/>
    <mergeCell ref="O27:P27"/>
    <mergeCell ref="J27:K27"/>
    <mergeCell ref="A31:E31"/>
    <mergeCell ref="F31:H31"/>
    <mergeCell ref="A33:C33"/>
    <mergeCell ref="G35:H35"/>
    <mergeCell ref="G36:H36"/>
    <mergeCell ref="X39:Y39"/>
    <mergeCell ref="A40:E40"/>
    <mergeCell ref="G40:H40"/>
    <mergeCell ref="J40:K40"/>
    <mergeCell ref="O40:P40"/>
    <mergeCell ref="R40:S40"/>
    <mergeCell ref="U40:V40"/>
    <mergeCell ref="X40:Y40"/>
    <mergeCell ref="X52:Y52"/>
    <mergeCell ref="X41:Y41"/>
    <mergeCell ref="A42:E42"/>
    <mergeCell ref="G42:H42"/>
    <mergeCell ref="A44:E44"/>
    <mergeCell ref="F44:H44"/>
    <mergeCell ref="A46:C46"/>
    <mergeCell ref="G48:H48"/>
    <mergeCell ref="A49:E49"/>
    <mergeCell ref="G49:H49"/>
    <mergeCell ref="A51:E51"/>
    <mergeCell ref="G51:H51"/>
    <mergeCell ref="X55:Y55"/>
    <mergeCell ref="AA54:AB54"/>
    <mergeCell ref="AA55:AB55"/>
    <mergeCell ref="J53:K53"/>
    <mergeCell ref="O53:P53"/>
    <mergeCell ref="R53:S53"/>
    <mergeCell ref="U53:V53"/>
    <mergeCell ref="X53:Y53"/>
    <mergeCell ref="X54:Y54"/>
  </mergeCells>
  <dataValidations count="1">
    <dataValidation type="decimal" operator="greaterThanOrEqual" allowBlank="1" showInputMessage="1" showErrorMessage="1" error="Only numbers" sqref="D20:E20 D33:E33 D46:E46" xr:uid="{166A9CF7-8AD5-4E3F-9F93-BECEBF4C8595}">
      <formula1>0</formula1>
    </dataValidation>
  </dataValidations>
  <hyperlinks>
    <hyperlink ref="AA57" location="'Revenue Streams'!A1" display="Back Revenue Streams" xr:uid="{AC8C2965-A12B-4B9C-93DD-7FD406BC985B}"/>
  </hyperlinks>
  <pageMargins left="0.7" right="0.7" top="0.75" bottom="0.75" header="0.3" footer="0.3"/>
  <pageSetup scale="4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BD9D9-715A-4747-901F-0565E91A2F37}">
  <sheetPr codeName="Sheet20">
    <pageSetUpPr fitToPage="1"/>
  </sheetPr>
  <dimension ref="A1:G68"/>
  <sheetViews>
    <sheetView zoomScaleNormal="100" workbookViewId="0">
      <selection activeCell="D68" sqref="D68"/>
    </sheetView>
  </sheetViews>
  <sheetFormatPr defaultRowHeight="12.75"/>
  <cols>
    <col min="1" max="1" width="18.375" style="249" customWidth="1"/>
    <col min="2" max="2" width="13.5" style="283" customWidth="1"/>
    <col min="3" max="3" width="15.625" style="283" customWidth="1"/>
    <col min="4" max="4" width="10.75" style="283" customWidth="1"/>
    <col min="5" max="5" width="18.125" style="283" customWidth="1"/>
    <col min="6" max="6" width="16.25" style="283" customWidth="1"/>
    <col min="7" max="7" width="0.625" style="249" customWidth="1"/>
    <col min="8" max="242" width="9" style="249"/>
    <col min="243" max="243" width="18.375" style="249" customWidth="1"/>
    <col min="244" max="244" width="13.5" style="249" customWidth="1"/>
    <col min="245" max="245" width="15.625" style="249" customWidth="1"/>
    <col min="246" max="246" width="10.75" style="249" customWidth="1"/>
    <col min="247" max="247" width="18.125" style="249" customWidth="1"/>
    <col min="248" max="248" width="16.25" style="249" customWidth="1"/>
    <col min="249" max="249" width="14.125" style="249" customWidth="1"/>
    <col min="250" max="250" width="12.5" style="249" customWidth="1"/>
    <col min="251" max="498" width="9" style="249"/>
    <col min="499" max="499" width="18.375" style="249" customWidth="1"/>
    <col min="500" max="500" width="13.5" style="249" customWidth="1"/>
    <col min="501" max="501" width="15.625" style="249" customWidth="1"/>
    <col min="502" max="502" width="10.75" style="249" customWidth="1"/>
    <col min="503" max="503" width="18.125" style="249" customWidth="1"/>
    <col min="504" max="504" width="16.25" style="249" customWidth="1"/>
    <col min="505" max="505" width="14.125" style="249" customWidth="1"/>
    <col min="506" max="506" width="12.5" style="249" customWidth="1"/>
    <col min="507" max="754" width="9" style="249"/>
    <col min="755" max="755" width="18.375" style="249" customWidth="1"/>
    <col min="756" max="756" width="13.5" style="249" customWidth="1"/>
    <col min="757" max="757" width="15.625" style="249" customWidth="1"/>
    <col min="758" max="758" width="10.75" style="249" customWidth="1"/>
    <col min="759" max="759" width="18.125" style="249" customWidth="1"/>
    <col min="760" max="760" width="16.25" style="249" customWidth="1"/>
    <col min="761" max="761" width="14.125" style="249" customWidth="1"/>
    <col min="762" max="762" width="12.5" style="249" customWidth="1"/>
    <col min="763" max="1010" width="9" style="249"/>
    <col min="1011" max="1011" width="18.375" style="249" customWidth="1"/>
    <col min="1012" max="1012" width="13.5" style="249" customWidth="1"/>
    <col min="1013" max="1013" width="15.625" style="249" customWidth="1"/>
    <col min="1014" max="1014" width="10.75" style="249" customWidth="1"/>
    <col min="1015" max="1015" width="18.125" style="249" customWidth="1"/>
    <col min="1016" max="1016" width="16.25" style="249" customWidth="1"/>
    <col min="1017" max="1017" width="14.125" style="249" customWidth="1"/>
    <col min="1018" max="1018" width="12.5" style="249" customWidth="1"/>
    <col min="1019" max="1266" width="9" style="249"/>
    <col min="1267" max="1267" width="18.375" style="249" customWidth="1"/>
    <col min="1268" max="1268" width="13.5" style="249" customWidth="1"/>
    <col min="1269" max="1269" width="15.625" style="249" customWidth="1"/>
    <col min="1270" max="1270" width="10.75" style="249" customWidth="1"/>
    <col min="1271" max="1271" width="18.125" style="249" customWidth="1"/>
    <col min="1272" max="1272" width="16.25" style="249" customWidth="1"/>
    <col min="1273" max="1273" width="14.125" style="249" customWidth="1"/>
    <col min="1274" max="1274" width="12.5" style="249" customWidth="1"/>
    <col min="1275" max="1522" width="9" style="249"/>
    <col min="1523" max="1523" width="18.375" style="249" customWidth="1"/>
    <col min="1524" max="1524" width="13.5" style="249" customWidth="1"/>
    <col min="1525" max="1525" width="15.625" style="249" customWidth="1"/>
    <col min="1526" max="1526" width="10.75" style="249" customWidth="1"/>
    <col min="1527" max="1527" width="18.125" style="249" customWidth="1"/>
    <col min="1528" max="1528" width="16.25" style="249" customWidth="1"/>
    <col min="1529" max="1529" width="14.125" style="249" customWidth="1"/>
    <col min="1530" max="1530" width="12.5" style="249" customWidth="1"/>
    <col min="1531" max="1778" width="9" style="249"/>
    <col min="1779" max="1779" width="18.375" style="249" customWidth="1"/>
    <col min="1780" max="1780" width="13.5" style="249" customWidth="1"/>
    <col min="1781" max="1781" width="15.625" style="249" customWidth="1"/>
    <col min="1782" max="1782" width="10.75" style="249" customWidth="1"/>
    <col min="1783" max="1783" width="18.125" style="249" customWidth="1"/>
    <col min="1784" max="1784" width="16.25" style="249" customWidth="1"/>
    <col min="1785" max="1785" width="14.125" style="249" customWidth="1"/>
    <col min="1786" max="1786" width="12.5" style="249" customWidth="1"/>
    <col min="1787" max="2034" width="9" style="249"/>
    <col min="2035" max="2035" width="18.375" style="249" customWidth="1"/>
    <col min="2036" max="2036" width="13.5" style="249" customWidth="1"/>
    <col min="2037" max="2037" width="15.625" style="249" customWidth="1"/>
    <col min="2038" max="2038" width="10.75" style="249" customWidth="1"/>
    <col min="2039" max="2039" width="18.125" style="249" customWidth="1"/>
    <col min="2040" max="2040" width="16.25" style="249" customWidth="1"/>
    <col min="2041" max="2041" width="14.125" style="249" customWidth="1"/>
    <col min="2042" max="2042" width="12.5" style="249" customWidth="1"/>
    <col min="2043" max="2290" width="9" style="249"/>
    <col min="2291" max="2291" width="18.375" style="249" customWidth="1"/>
    <col min="2292" max="2292" width="13.5" style="249" customWidth="1"/>
    <col min="2293" max="2293" width="15.625" style="249" customWidth="1"/>
    <col min="2294" max="2294" width="10.75" style="249" customWidth="1"/>
    <col min="2295" max="2295" width="18.125" style="249" customWidth="1"/>
    <col min="2296" max="2296" width="16.25" style="249" customWidth="1"/>
    <col min="2297" max="2297" width="14.125" style="249" customWidth="1"/>
    <col min="2298" max="2298" width="12.5" style="249" customWidth="1"/>
    <col min="2299" max="2546" width="9" style="249"/>
    <col min="2547" max="2547" width="18.375" style="249" customWidth="1"/>
    <col min="2548" max="2548" width="13.5" style="249" customWidth="1"/>
    <col min="2549" max="2549" width="15.625" style="249" customWidth="1"/>
    <col min="2550" max="2550" width="10.75" style="249" customWidth="1"/>
    <col min="2551" max="2551" width="18.125" style="249" customWidth="1"/>
    <col min="2552" max="2552" width="16.25" style="249" customWidth="1"/>
    <col min="2553" max="2553" width="14.125" style="249" customWidth="1"/>
    <col min="2554" max="2554" width="12.5" style="249" customWidth="1"/>
    <col min="2555" max="2802" width="9" style="249"/>
    <col min="2803" max="2803" width="18.375" style="249" customWidth="1"/>
    <col min="2804" max="2804" width="13.5" style="249" customWidth="1"/>
    <col min="2805" max="2805" width="15.625" style="249" customWidth="1"/>
    <col min="2806" max="2806" width="10.75" style="249" customWidth="1"/>
    <col min="2807" max="2807" width="18.125" style="249" customWidth="1"/>
    <col min="2808" max="2808" width="16.25" style="249" customWidth="1"/>
    <col min="2809" max="2809" width="14.125" style="249" customWidth="1"/>
    <col min="2810" max="2810" width="12.5" style="249" customWidth="1"/>
    <col min="2811" max="3058" width="9" style="249"/>
    <col min="3059" max="3059" width="18.375" style="249" customWidth="1"/>
    <col min="3060" max="3060" width="13.5" style="249" customWidth="1"/>
    <col min="3061" max="3061" width="15.625" style="249" customWidth="1"/>
    <col min="3062" max="3062" width="10.75" style="249" customWidth="1"/>
    <col min="3063" max="3063" width="18.125" style="249" customWidth="1"/>
    <col min="3064" max="3064" width="16.25" style="249" customWidth="1"/>
    <col min="3065" max="3065" width="14.125" style="249" customWidth="1"/>
    <col min="3066" max="3066" width="12.5" style="249" customWidth="1"/>
    <col min="3067" max="3314" width="9" style="249"/>
    <col min="3315" max="3315" width="18.375" style="249" customWidth="1"/>
    <col min="3316" max="3316" width="13.5" style="249" customWidth="1"/>
    <col min="3317" max="3317" width="15.625" style="249" customWidth="1"/>
    <col min="3318" max="3318" width="10.75" style="249" customWidth="1"/>
    <col min="3319" max="3319" width="18.125" style="249" customWidth="1"/>
    <col min="3320" max="3320" width="16.25" style="249" customWidth="1"/>
    <col min="3321" max="3321" width="14.125" style="249" customWidth="1"/>
    <col min="3322" max="3322" width="12.5" style="249" customWidth="1"/>
    <col min="3323" max="3570" width="9" style="249"/>
    <col min="3571" max="3571" width="18.375" style="249" customWidth="1"/>
    <col min="3572" max="3572" width="13.5" style="249" customWidth="1"/>
    <col min="3573" max="3573" width="15.625" style="249" customWidth="1"/>
    <col min="3574" max="3574" width="10.75" style="249" customWidth="1"/>
    <col min="3575" max="3575" width="18.125" style="249" customWidth="1"/>
    <col min="3576" max="3576" width="16.25" style="249" customWidth="1"/>
    <col min="3577" max="3577" width="14.125" style="249" customWidth="1"/>
    <col min="3578" max="3578" width="12.5" style="249" customWidth="1"/>
    <col min="3579" max="3826" width="9" style="249"/>
    <col min="3827" max="3827" width="18.375" style="249" customWidth="1"/>
    <col min="3828" max="3828" width="13.5" style="249" customWidth="1"/>
    <col min="3829" max="3829" width="15.625" style="249" customWidth="1"/>
    <col min="3830" max="3830" width="10.75" style="249" customWidth="1"/>
    <col min="3831" max="3831" width="18.125" style="249" customWidth="1"/>
    <col min="3832" max="3832" width="16.25" style="249" customWidth="1"/>
    <col min="3833" max="3833" width="14.125" style="249" customWidth="1"/>
    <col min="3834" max="3834" width="12.5" style="249" customWidth="1"/>
    <col min="3835" max="4082" width="9" style="249"/>
    <col min="4083" max="4083" width="18.375" style="249" customWidth="1"/>
    <col min="4084" max="4084" width="13.5" style="249" customWidth="1"/>
    <col min="4085" max="4085" width="15.625" style="249" customWidth="1"/>
    <col min="4086" max="4086" width="10.75" style="249" customWidth="1"/>
    <col min="4087" max="4087" width="18.125" style="249" customWidth="1"/>
    <col min="4088" max="4088" width="16.25" style="249" customWidth="1"/>
    <col min="4089" max="4089" width="14.125" style="249" customWidth="1"/>
    <col min="4090" max="4090" width="12.5" style="249" customWidth="1"/>
    <col min="4091" max="4338" width="9" style="249"/>
    <col min="4339" max="4339" width="18.375" style="249" customWidth="1"/>
    <col min="4340" max="4340" width="13.5" style="249" customWidth="1"/>
    <col min="4341" max="4341" width="15.625" style="249" customWidth="1"/>
    <col min="4342" max="4342" width="10.75" style="249" customWidth="1"/>
    <col min="4343" max="4343" width="18.125" style="249" customWidth="1"/>
    <col min="4344" max="4344" width="16.25" style="249" customWidth="1"/>
    <col min="4345" max="4345" width="14.125" style="249" customWidth="1"/>
    <col min="4346" max="4346" width="12.5" style="249" customWidth="1"/>
    <col min="4347" max="4594" width="9" style="249"/>
    <col min="4595" max="4595" width="18.375" style="249" customWidth="1"/>
    <col min="4596" max="4596" width="13.5" style="249" customWidth="1"/>
    <col min="4597" max="4597" width="15.625" style="249" customWidth="1"/>
    <col min="4598" max="4598" width="10.75" style="249" customWidth="1"/>
    <col min="4599" max="4599" width="18.125" style="249" customWidth="1"/>
    <col min="4600" max="4600" width="16.25" style="249" customWidth="1"/>
    <col min="4601" max="4601" width="14.125" style="249" customWidth="1"/>
    <col min="4602" max="4602" width="12.5" style="249" customWidth="1"/>
    <col min="4603" max="4850" width="9" style="249"/>
    <col min="4851" max="4851" width="18.375" style="249" customWidth="1"/>
    <col min="4852" max="4852" width="13.5" style="249" customWidth="1"/>
    <col min="4853" max="4853" width="15.625" style="249" customWidth="1"/>
    <col min="4854" max="4854" width="10.75" style="249" customWidth="1"/>
    <col min="4855" max="4855" width="18.125" style="249" customWidth="1"/>
    <col min="4856" max="4856" width="16.25" style="249" customWidth="1"/>
    <col min="4857" max="4857" width="14.125" style="249" customWidth="1"/>
    <col min="4858" max="4858" width="12.5" style="249" customWidth="1"/>
    <col min="4859" max="5106" width="9" style="249"/>
    <col min="5107" max="5107" width="18.375" style="249" customWidth="1"/>
    <col min="5108" max="5108" width="13.5" style="249" customWidth="1"/>
    <col min="5109" max="5109" width="15.625" style="249" customWidth="1"/>
    <col min="5110" max="5110" width="10.75" style="249" customWidth="1"/>
    <col min="5111" max="5111" width="18.125" style="249" customWidth="1"/>
    <col min="5112" max="5112" width="16.25" style="249" customWidth="1"/>
    <col min="5113" max="5113" width="14.125" style="249" customWidth="1"/>
    <col min="5114" max="5114" width="12.5" style="249" customWidth="1"/>
    <col min="5115" max="5362" width="9" style="249"/>
    <col min="5363" max="5363" width="18.375" style="249" customWidth="1"/>
    <col min="5364" max="5364" width="13.5" style="249" customWidth="1"/>
    <col min="5365" max="5365" width="15.625" style="249" customWidth="1"/>
    <col min="5366" max="5366" width="10.75" style="249" customWidth="1"/>
    <col min="5367" max="5367" width="18.125" style="249" customWidth="1"/>
    <col min="5368" max="5368" width="16.25" style="249" customWidth="1"/>
    <col min="5369" max="5369" width="14.125" style="249" customWidth="1"/>
    <col min="5370" max="5370" width="12.5" style="249" customWidth="1"/>
    <col min="5371" max="5618" width="9" style="249"/>
    <col min="5619" max="5619" width="18.375" style="249" customWidth="1"/>
    <col min="5620" max="5620" width="13.5" style="249" customWidth="1"/>
    <col min="5621" max="5621" width="15.625" style="249" customWidth="1"/>
    <col min="5622" max="5622" width="10.75" style="249" customWidth="1"/>
    <col min="5623" max="5623" width="18.125" style="249" customWidth="1"/>
    <col min="5624" max="5624" width="16.25" style="249" customWidth="1"/>
    <col min="5625" max="5625" width="14.125" style="249" customWidth="1"/>
    <col min="5626" max="5626" width="12.5" style="249" customWidth="1"/>
    <col min="5627" max="5874" width="9" style="249"/>
    <col min="5875" max="5875" width="18.375" style="249" customWidth="1"/>
    <col min="5876" max="5876" width="13.5" style="249" customWidth="1"/>
    <col min="5877" max="5877" width="15.625" style="249" customWidth="1"/>
    <col min="5878" max="5878" width="10.75" style="249" customWidth="1"/>
    <col min="5879" max="5879" width="18.125" style="249" customWidth="1"/>
    <col min="5880" max="5880" width="16.25" style="249" customWidth="1"/>
    <col min="5881" max="5881" width="14.125" style="249" customWidth="1"/>
    <col min="5882" max="5882" width="12.5" style="249" customWidth="1"/>
    <col min="5883" max="6130" width="9" style="249"/>
    <col min="6131" max="6131" width="18.375" style="249" customWidth="1"/>
    <col min="6132" max="6132" width="13.5" style="249" customWidth="1"/>
    <col min="6133" max="6133" width="15.625" style="249" customWidth="1"/>
    <col min="6134" max="6134" width="10.75" style="249" customWidth="1"/>
    <col min="6135" max="6135" width="18.125" style="249" customWidth="1"/>
    <col min="6136" max="6136" width="16.25" style="249" customWidth="1"/>
    <col min="6137" max="6137" width="14.125" style="249" customWidth="1"/>
    <col min="6138" max="6138" width="12.5" style="249" customWidth="1"/>
    <col min="6139" max="6386" width="9" style="249"/>
    <col min="6387" max="6387" width="18.375" style="249" customWidth="1"/>
    <col min="6388" max="6388" width="13.5" style="249" customWidth="1"/>
    <col min="6389" max="6389" width="15.625" style="249" customWidth="1"/>
    <col min="6390" max="6390" width="10.75" style="249" customWidth="1"/>
    <col min="6391" max="6391" width="18.125" style="249" customWidth="1"/>
    <col min="6392" max="6392" width="16.25" style="249" customWidth="1"/>
    <col min="6393" max="6393" width="14.125" style="249" customWidth="1"/>
    <col min="6394" max="6394" width="12.5" style="249" customWidth="1"/>
    <col min="6395" max="6642" width="9" style="249"/>
    <col min="6643" max="6643" width="18.375" style="249" customWidth="1"/>
    <col min="6644" max="6644" width="13.5" style="249" customWidth="1"/>
    <col min="6645" max="6645" width="15.625" style="249" customWidth="1"/>
    <col min="6646" max="6646" width="10.75" style="249" customWidth="1"/>
    <col min="6647" max="6647" width="18.125" style="249" customWidth="1"/>
    <col min="6648" max="6648" width="16.25" style="249" customWidth="1"/>
    <col min="6649" max="6649" width="14.125" style="249" customWidth="1"/>
    <col min="6650" max="6650" width="12.5" style="249" customWidth="1"/>
    <col min="6651" max="6898" width="9" style="249"/>
    <col min="6899" max="6899" width="18.375" style="249" customWidth="1"/>
    <col min="6900" max="6900" width="13.5" style="249" customWidth="1"/>
    <col min="6901" max="6901" width="15.625" style="249" customWidth="1"/>
    <col min="6902" max="6902" width="10.75" style="249" customWidth="1"/>
    <col min="6903" max="6903" width="18.125" style="249" customWidth="1"/>
    <col min="6904" max="6904" width="16.25" style="249" customWidth="1"/>
    <col min="6905" max="6905" width="14.125" style="249" customWidth="1"/>
    <col min="6906" max="6906" width="12.5" style="249" customWidth="1"/>
    <col min="6907" max="7154" width="9" style="249"/>
    <col min="7155" max="7155" width="18.375" style="249" customWidth="1"/>
    <col min="7156" max="7156" width="13.5" style="249" customWidth="1"/>
    <col min="7157" max="7157" width="15.625" style="249" customWidth="1"/>
    <col min="7158" max="7158" width="10.75" style="249" customWidth="1"/>
    <col min="7159" max="7159" width="18.125" style="249" customWidth="1"/>
    <col min="7160" max="7160" width="16.25" style="249" customWidth="1"/>
    <col min="7161" max="7161" width="14.125" style="249" customWidth="1"/>
    <col min="7162" max="7162" width="12.5" style="249" customWidth="1"/>
    <col min="7163" max="7410" width="9" style="249"/>
    <col min="7411" max="7411" width="18.375" style="249" customWidth="1"/>
    <col min="7412" max="7412" width="13.5" style="249" customWidth="1"/>
    <col min="7413" max="7413" width="15.625" style="249" customWidth="1"/>
    <col min="7414" max="7414" width="10.75" style="249" customWidth="1"/>
    <col min="7415" max="7415" width="18.125" style="249" customWidth="1"/>
    <col min="7416" max="7416" width="16.25" style="249" customWidth="1"/>
    <col min="7417" max="7417" width="14.125" style="249" customWidth="1"/>
    <col min="7418" max="7418" width="12.5" style="249" customWidth="1"/>
    <col min="7419" max="7666" width="9" style="249"/>
    <col min="7667" max="7667" width="18.375" style="249" customWidth="1"/>
    <col min="7668" max="7668" width="13.5" style="249" customWidth="1"/>
    <col min="7669" max="7669" width="15.625" style="249" customWidth="1"/>
    <col min="7670" max="7670" width="10.75" style="249" customWidth="1"/>
    <col min="7671" max="7671" width="18.125" style="249" customWidth="1"/>
    <col min="7672" max="7672" width="16.25" style="249" customWidth="1"/>
    <col min="7673" max="7673" width="14.125" style="249" customWidth="1"/>
    <col min="7674" max="7674" width="12.5" style="249" customWidth="1"/>
    <col min="7675" max="7922" width="9" style="249"/>
    <col min="7923" max="7923" width="18.375" style="249" customWidth="1"/>
    <col min="7924" max="7924" width="13.5" style="249" customWidth="1"/>
    <col min="7925" max="7925" width="15.625" style="249" customWidth="1"/>
    <col min="7926" max="7926" width="10.75" style="249" customWidth="1"/>
    <col min="7927" max="7927" width="18.125" style="249" customWidth="1"/>
    <col min="7928" max="7928" width="16.25" style="249" customWidth="1"/>
    <col min="7929" max="7929" width="14.125" style="249" customWidth="1"/>
    <col min="7930" max="7930" width="12.5" style="249" customWidth="1"/>
    <col min="7931" max="8178" width="9" style="249"/>
    <col min="8179" max="8179" width="18.375" style="249" customWidth="1"/>
    <col min="8180" max="8180" width="13.5" style="249" customWidth="1"/>
    <col min="8181" max="8181" width="15.625" style="249" customWidth="1"/>
    <col min="8182" max="8182" width="10.75" style="249" customWidth="1"/>
    <col min="8183" max="8183" width="18.125" style="249" customWidth="1"/>
    <col min="8184" max="8184" width="16.25" style="249" customWidth="1"/>
    <col min="8185" max="8185" width="14.125" style="249" customWidth="1"/>
    <col min="8186" max="8186" width="12.5" style="249" customWidth="1"/>
    <col min="8187" max="8434" width="9" style="249"/>
    <col min="8435" max="8435" width="18.375" style="249" customWidth="1"/>
    <col min="8436" max="8436" width="13.5" style="249" customWidth="1"/>
    <col min="8437" max="8437" width="15.625" style="249" customWidth="1"/>
    <col min="8438" max="8438" width="10.75" style="249" customWidth="1"/>
    <col min="8439" max="8439" width="18.125" style="249" customWidth="1"/>
    <col min="8440" max="8440" width="16.25" style="249" customWidth="1"/>
    <col min="8441" max="8441" width="14.125" style="249" customWidth="1"/>
    <col min="8442" max="8442" width="12.5" style="249" customWidth="1"/>
    <col min="8443" max="8690" width="9" style="249"/>
    <col min="8691" max="8691" width="18.375" style="249" customWidth="1"/>
    <col min="8692" max="8692" width="13.5" style="249" customWidth="1"/>
    <col min="8693" max="8693" width="15.625" style="249" customWidth="1"/>
    <col min="8694" max="8694" width="10.75" style="249" customWidth="1"/>
    <col min="8695" max="8695" width="18.125" style="249" customWidth="1"/>
    <col min="8696" max="8696" width="16.25" style="249" customWidth="1"/>
    <col min="8697" max="8697" width="14.125" style="249" customWidth="1"/>
    <col min="8698" max="8698" width="12.5" style="249" customWidth="1"/>
    <col min="8699" max="8946" width="9" style="249"/>
    <col min="8947" max="8947" width="18.375" style="249" customWidth="1"/>
    <col min="8948" max="8948" width="13.5" style="249" customWidth="1"/>
    <col min="8949" max="8949" width="15.625" style="249" customWidth="1"/>
    <col min="8950" max="8950" width="10.75" style="249" customWidth="1"/>
    <col min="8951" max="8951" width="18.125" style="249" customWidth="1"/>
    <col min="8952" max="8952" width="16.25" style="249" customWidth="1"/>
    <col min="8953" max="8953" width="14.125" style="249" customWidth="1"/>
    <col min="8954" max="8954" width="12.5" style="249" customWidth="1"/>
    <col min="8955" max="9202" width="9" style="249"/>
    <col min="9203" max="9203" width="18.375" style="249" customWidth="1"/>
    <col min="9204" max="9204" width="13.5" style="249" customWidth="1"/>
    <col min="9205" max="9205" width="15.625" style="249" customWidth="1"/>
    <col min="9206" max="9206" width="10.75" style="249" customWidth="1"/>
    <col min="9207" max="9207" width="18.125" style="249" customWidth="1"/>
    <col min="9208" max="9208" width="16.25" style="249" customWidth="1"/>
    <col min="9209" max="9209" width="14.125" style="249" customWidth="1"/>
    <col min="9210" max="9210" width="12.5" style="249" customWidth="1"/>
    <col min="9211" max="9458" width="9" style="249"/>
    <col min="9459" max="9459" width="18.375" style="249" customWidth="1"/>
    <col min="9460" max="9460" width="13.5" style="249" customWidth="1"/>
    <col min="9461" max="9461" width="15.625" style="249" customWidth="1"/>
    <col min="9462" max="9462" width="10.75" style="249" customWidth="1"/>
    <col min="9463" max="9463" width="18.125" style="249" customWidth="1"/>
    <col min="9464" max="9464" width="16.25" style="249" customWidth="1"/>
    <col min="9465" max="9465" width="14.125" style="249" customWidth="1"/>
    <col min="9466" max="9466" width="12.5" style="249" customWidth="1"/>
    <col min="9467" max="9714" width="9" style="249"/>
    <col min="9715" max="9715" width="18.375" style="249" customWidth="1"/>
    <col min="9716" max="9716" width="13.5" style="249" customWidth="1"/>
    <col min="9717" max="9717" width="15.625" style="249" customWidth="1"/>
    <col min="9718" max="9718" width="10.75" style="249" customWidth="1"/>
    <col min="9719" max="9719" width="18.125" style="249" customWidth="1"/>
    <col min="9720" max="9720" width="16.25" style="249" customWidth="1"/>
    <col min="9721" max="9721" width="14.125" style="249" customWidth="1"/>
    <col min="9722" max="9722" width="12.5" style="249" customWidth="1"/>
    <col min="9723" max="9970" width="9" style="249"/>
    <col min="9971" max="9971" width="18.375" style="249" customWidth="1"/>
    <col min="9972" max="9972" width="13.5" style="249" customWidth="1"/>
    <col min="9973" max="9973" width="15.625" style="249" customWidth="1"/>
    <col min="9974" max="9974" width="10.75" style="249" customWidth="1"/>
    <col min="9975" max="9975" width="18.125" style="249" customWidth="1"/>
    <col min="9976" max="9976" width="16.25" style="249" customWidth="1"/>
    <col min="9977" max="9977" width="14.125" style="249" customWidth="1"/>
    <col min="9978" max="9978" width="12.5" style="249" customWidth="1"/>
    <col min="9979" max="10226" width="9" style="249"/>
    <col min="10227" max="10227" width="18.375" style="249" customWidth="1"/>
    <col min="10228" max="10228" width="13.5" style="249" customWidth="1"/>
    <col min="10229" max="10229" width="15.625" style="249" customWidth="1"/>
    <col min="10230" max="10230" width="10.75" style="249" customWidth="1"/>
    <col min="10231" max="10231" width="18.125" style="249" customWidth="1"/>
    <col min="10232" max="10232" width="16.25" style="249" customWidth="1"/>
    <col min="10233" max="10233" width="14.125" style="249" customWidth="1"/>
    <col min="10234" max="10234" width="12.5" style="249" customWidth="1"/>
    <col min="10235" max="10482" width="9" style="249"/>
    <col min="10483" max="10483" width="18.375" style="249" customWidth="1"/>
    <col min="10484" max="10484" width="13.5" style="249" customWidth="1"/>
    <col min="10485" max="10485" width="15.625" style="249" customWidth="1"/>
    <col min="10486" max="10486" width="10.75" style="249" customWidth="1"/>
    <col min="10487" max="10487" width="18.125" style="249" customWidth="1"/>
    <col min="10488" max="10488" width="16.25" style="249" customWidth="1"/>
    <col min="10489" max="10489" width="14.125" style="249" customWidth="1"/>
    <col min="10490" max="10490" width="12.5" style="249" customWidth="1"/>
    <col min="10491" max="10738" width="9" style="249"/>
    <col min="10739" max="10739" width="18.375" style="249" customWidth="1"/>
    <col min="10740" max="10740" width="13.5" style="249" customWidth="1"/>
    <col min="10741" max="10741" width="15.625" style="249" customWidth="1"/>
    <col min="10742" max="10742" width="10.75" style="249" customWidth="1"/>
    <col min="10743" max="10743" width="18.125" style="249" customWidth="1"/>
    <col min="10744" max="10744" width="16.25" style="249" customWidth="1"/>
    <col min="10745" max="10745" width="14.125" style="249" customWidth="1"/>
    <col min="10746" max="10746" width="12.5" style="249" customWidth="1"/>
    <col min="10747" max="10994" width="9" style="249"/>
    <col min="10995" max="10995" width="18.375" style="249" customWidth="1"/>
    <col min="10996" max="10996" width="13.5" style="249" customWidth="1"/>
    <col min="10997" max="10997" width="15.625" style="249" customWidth="1"/>
    <col min="10998" max="10998" width="10.75" style="249" customWidth="1"/>
    <col min="10999" max="10999" width="18.125" style="249" customWidth="1"/>
    <col min="11000" max="11000" width="16.25" style="249" customWidth="1"/>
    <col min="11001" max="11001" width="14.125" style="249" customWidth="1"/>
    <col min="11002" max="11002" width="12.5" style="249" customWidth="1"/>
    <col min="11003" max="11250" width="9" style="249"/>
    <col min="11251" max="11251" width="18.375" style="249" customWidth="1"/>
    <col min="11252" max="11252" width="13.5" style="249" customWidth="1"/>
    <col min="11253" max="11253" width="15.625" style="249" customWidth="1"/>
    <col min="11254" max="11254" width="10.75" style="249" customWidth="1"/>
    <col min="11255" max="11255" width="18.125" style="249" customWidth="1"/>
    <col min="11256" max="11256" width="16.25" style="249" customWidth="1"/>
    <col min="11257" max="11257" width="14.125" style="249" customWidth="1"/>
    <col min="11258" max="11258" width="12.5" style="249" customWidth="1"/>
    <col min="11259" max="11506" width="9" style="249"/>
    <col min="11507" max="11507" width="18.375" style="249" customWidth="1"/>
    <col min="11508" max="11508" width="13.5" style="249" customWidth="1"/>
    <col min="11509" max="11509" width="15.625" style="249" customWidth="1"/>
    <col min="11510" max="11510" width="10.75" style="249" customWidth="1"/>
    <col min="11511" max="11511" width="18.125" style="249" customWidth="1"/>
    <col min="11512" max="11512" width="16.25" style="249" customWidth="1"/>
    <col min="11513" max="11513" width="14.125" style="249" customWidth="1"/>
    <col min="11514" max="11514" width="12.5" style="249" customWidth="1"/>
    <col min="11515" max="11762" width="9" style="249"/>
    <col min="11763" max="11763" width="18.375" style="249" customWidth="1"/>
    <col min="11764" max="11764" width="13.5" style="249" customWidth="1"/>
    <col min="11765" max="11765" width="15.625" style="249" customWidth="1"/>
    <col min="11766" max="11766" width="10.75" style="249" customWidth="1"/>
    <col min="11767" max="11767" width="18.125" style="249" customWidth="1"/>
    <col min="11768" max="11768" width="16.25" style="249" customWidth="1"/>
    <col min="11769" max="11769" width="14.125" style="249" customWidth="1"/>
    <col min="11770" max="11770" width="12.5" style="249" customWidth="1"/>
    <col min="11771" max="12018" width="9" style="249"/>
    <col min="12019" max="12019" width="18.375" style="249" customWidth="1"/>
    <col min="12020" max="12020" width="13.5" style="249" customWidth="1"/>
    <col min="12021" max="12021" width="15.625" style="249" customWidth="1"/>
    <col min="12022" max="12022" width="10.75" style="249" customWidth="1"/>
    <col min="12023" max="12023" width="18.125" style="249" customWidth="1"/>
    <col min="12024" max="12024" width="16.25" style="249" customWidth="1"/>
    <col min="12025" max="12025" width="14.125" style="249" customWidth="1"/>
    <col min="12026" max="12026" width="12.5" style="249" customWidth="1"/>
    <col min="12027" max="12274" width="9" style="249"/>
    <col min="12275" max="12275" width="18.375" style="249" customWidth="1"/>
    <col min="12276" max="12276" width="13.5" style="249" customWidth="1"/>
    <col min="12277" max="12277" width="15.625" style="249" customWidth="1"/>
    <col min="12278" max="12278" width="10.75" style="249" customWidth="1"/>
    <col min="12279" max="12279" width="18.125" style="249" customWidth="1"/>
    <col min="12280" max="12280" width="16.25" style="249" customWidth="1"/>
    <col min="12281" max="12281" width="14.125" style="249" customWidth="1"/>
    <col min="12282" max="12282" width="12.5" style="249" customWidth="1"/>
    <col min="12283" max="12530" width="9" style="249"/>
    <col min="12531" max="12531" width="18.375" style="249" customWidth="1"/>
    <col min="12532" max="12532" width="13.5" style="249" customWidth="1"/>
    <col min="12533" max="12533" width="15.625" style="249" customWidth="1"/>
    <col min="12534" max="12534" width="10.75" style="249" customWidth="1"/>
    <col min="12535" max="12535" width="18.125" style="249" customWidth="1"/>
    <col min="12536" max="12536" width="16.25" style="249" customWidth="1"/>
    <col min="12537" max="12537" width="14.125" style="249" customWidth="1"/>
    <col min="12538" max="12538" width="12.5" style="249" customWidth="1"/>
    <col min="12539" max="12786" width="9" style="249"/>
    <col min="12787" max="12787" width="18.375" style="249" customWidth="1"/>
    <col min="12788" max="12788" width="13.5" style="249" customWidth="1"/>
    <col min="12789" max="12789" width="15.625" style="249" customWidth="1"/>
    <col min="12790" max="12790" width="10.75" style="249" customWidth="1"/>
    <col min="12791" max="12791" width="18.125" style="249" customWidth="1"/>
    <col min="12792" max="12792" width="16.25" style="249" customWidth="1"/>
    <col min="12793" max="12793" width="14.125" style="249" customWidth="1"/>
    <col min="12794" max="12794" width="12.5" style="249" customWidth="1"/>
    <col min="12795" max="13042" width="9" style="249"/>
    <col min="13043" max="13043" width="18.375" style="249" customWidth="1"/>
    <col min="13044" max="13044" width="13.5" style="249" customWidth="1"/>
    <col min="13045" max="13045" width="15.625" style="249" customWidth="1"/>
    <col min="13046" max="13046" width="10.75" style="249" customWidth="1"/>
    <col min="13047" max="13047" width="18.125" style="249" customWidth="1"/>
    <col min="13048" max="13048" width="16.25" style="249" customWidth="1"/>
    <col min="13049" max="13049" width="14.125" style="249" customWidth="1"/>
    <col min="13050" max="13050" width="12.5" style="249" customWidth="1"/>
    <col min="13051" max="13298" width="9" style="249"/>
    <col min="13299" max="13299" width="18.375" style="249" customWidth="1"/>
    <col min="13300" max="13300" width="13.5" style="249" customWidth="1"/>
    <col min="13301" max="13301" width="15.625" style="249" customWidth="1"/>
    <col min="13302" max="13302" width="10.75" style="249" customWidth="1"/>
    <col min="13303" max="13303" width="18.125" style="249" customWidth="1"/>
    <col min="13304" max="13304" width="16.25" style="249" customWidth="1"/>
    <col min="13305" max="13305" width="14.125" style="249" customWidth="1"/>
    <col min="13306" max="13306" width="12.5" style="249" customWidth="1"/>
    <col min="13307" max="13554" width="9" style="249"/>
    <col min="13555" max="13555" width="18.375" style="249" customWidth="1"/>
    <col min="13556" max="13556" width="13.5" style="249" customWidth="1"/>
    <col min="13557" max="13557" width="15.625" style="249" customWidth="1"/>
    <col min="13558" max="13558" width="10.75" style="249" customWidth="1"/>
    <col min="13559" max="13559" width="18.125" style="249" customWidth="1"/>
    <col min="13560" max="13560" width="16.25" style="249" customWidth="1"/>
    <col min="13561" max="13561" width="14.125" style="249" customWidth="1"/>
    <col min="13562" max="13562" width="12.5" style="249" customWidth="1"/>
    <col min="13563" max="13810" width="9" style="249"/>
    <col min="13811" max="13811" width="18.375" style="249" customWidth="1"/>
    <col min="13812" max="13812" width="13.5" style="249" customWidth="1"/>
    <col min="13813" max="13813" width="15.625" style="249" customWidth="1"/>
    <col min="13814" max="13814" width="10.75" style="249" customWidth="1"/>
    <col min="13815" max="13815" width="18.125" style="249" customWidth="1"/>
    <col min="13816" max="13816" width="16.25" style="249" customWidth="1"/>
    <col min="13817" max="13817" width="14.125" style="249" customWidth="1"/>
    <col min="13818" max="13818" width="12.5" style="249" customWidth="1"/>
    <col min="13819" max="14066" width="9" style="249"/>
    <col min="14067" max="14067" width="18.375" style="249" customWidth="1"/>
    <col min="14068" max="14068" width="13.5" style="249" customWidth="1"/>
    <col min="14069" max="14069" width="15.625" style="249" customWidth="1"/>
    <col min="14070" max="14070" width="10.75" style="249" customWidth="1"/>
    <col min="14071" max="14071" width="18.125" style="249" customWidth="1"/>
    <col min="14072" max="14072" width="16.25" style="249" customWidth="1"/>
    <col min="14073" max="14073" width="14.125" style="249" customWidth="1"/>
    <col min="14074" max="14074" width="12.5" style="249" customWidth="1"/>
    <col min="14075" max="14322" width="9" style="249"/>
    <col min="14323" max="14323" width="18.375" style="249" customWidth="1"/>
    <col min="14324" max="14324" width="13.5" style="249" customWidth="1"/>
    <col min="14325" max="14325" width="15.625" style="249" customWidth="1"/>
    <col min="14326" max="14326" width="10.75" style="249" customWidth="1"/>
    <col min="14327" max="14327" width="18.125" style="249" customWidth="1"/>
    <col min="14328" max="14328" width="16.25" style="249" customWidth="1"/>
    <col min="14329" max="14329" width="14.125" style="249" customWidth="1"/>
    <col min="14330" max="14330" width="12.5" style="249" customWidth="1"/>
    <col min="14331" max="14578" width="9" style="249"/>
    <col min="14579" max="14579" width="18.375" style="249" customWidth="1"/>
    <col min="14580" max="14580" width="13.5" style="249" customWidth="1"/>
    <col min="14581" max="14581" width="15.625" style="249" customWidth="1"/>
    <col min="14582" max="14582" width="10.75" style="249" customWidth="1"/>
    <col min="14583" max="14583" width="18.125" style="249" customWidth="1"/>
    <col min="14584" max="14584" width="16.25" style="249" customWidth="1"/>
    <col min="14585" max="14585" width="14.125" style="249" customWidth="1"/>
    <col min="14586" max="14586" width="12.5" style="249" customWidth="1"/>
    <col min="14587" max="14834" width="9" style="249"/>
    <col min="14835" max="14835" width="18.375" style="249" customWidth="1"/>
    <col min="14836" max="14836" width="13.5" style="249" customWidth="1"/>
    <col min="14837" max="14837" width="15.625" style="249" customWidth="1"/>
    <col min="14838" max="14838" width="10.75" style="249" customWidth="1"/>
    <col min="14839" max="14839" width="18.125" style="249" customWidth="1"/>
    <col min="14840" max="14840" width="16.25" style="249" customWidth="1"/>
    <col min="14841" max="14841" width="14.125" style="249" customWidth="1"/>
    <col min="14842" max="14842" width="12.5" style="249" customWidth="1"/>
    <col min="14843" max="15090" width="9" style="249"/>
    <col min="15091" max="15091" width="18.375" style="249" customWidth="1"/>
    <col min="15092" max="15092" width="13.5" style="249" customWidth="1"/>
    <col min="15093" max="15093" width="15.625" style="249" customWidth="1"/>
    <col min="15094" max="15094" width="10.75" style="249" customWidth="1"/>
    <col min="15095" max="15095" width="18.125" style="249" customWidth="1"/>
    <col min="15096" max="15096" width="16.25" style="249" customWidth="1"/>
    <col min="15097" max="15097" width="14.125" style="249" customWidth="1"/>
    <col min="15098" max="15098" width="12.5" style="249" customWidth="1"/>
    <col min="15099" max="15346" width="9" style="249"/>
    <col min="15347" max="15347" width="18.375" style="249" customWidth="1"/>
    <col min="15348" max="15348" width="13.5" style="249" customWidth="1"/>
    <col min="15349" max="15349" width="15.625" style="249" customWidth="1"/>
    <col min="15350" max="15350" width="10.75" style="249" customWidth="1"/>
    <col min="15351" max="15351" width="18.125" style="249" customWidth="1"/>
    <col min="15352" max="15352" width="16.25" style="249" customWidth="1"/>
    <col min="15353" max="15353" width="14.125" style="249" customWidth="1"/>
    <col min="15354" max="15354" width="12.5" style="249" customWidth="1"/>
    <col min="15355" max="15602" width="9" style="249"/>
    <col min="15603" max="15603" width="18.375" style="249" customWidth="1"/>
    <col min="15604" max="15604" width="13.5" style="249" customWidth="1"/>
    <col min="15605" max="15605" width="15.625" style="249" customWidth="1"/>
    <col min="15606" max="15606" width="10.75" style="249" customWidth="1"/>
    <col min="15607" max="15607" width="18.125" style="249" customWidth="1"/>
    <col min="15608" max="15608" width="16.25" style="249" customWidth="1"/>
    <col min="15609" max="15609" width="14.125" style="249" customWidth="1"/>
    <col min="15610" max="15610" width="12.5" style="249" customWidth="1"/>
    <col min="15611" max="15858" width="9" style="249"/>
    <col min="15859" max="15859" width="18.375" style="249" customWidth="1"/>
    <col min="15860" max="15860" width="13.5" style="249" customWidth="1"/>
    <col min="15861" max="15861" width="15.625" style="249" customWidth="1"/>
    <col min="15862" max="15862" width="10.75" style="249" customWidth="1"/>
    <col min="15863" max="15863" width="18.125" style="249" customWidth="1"/>
    <col min="15864" max="15864" width="16.25" style="249" customWidth="1"/>
    <col min="15865" max="15865" width="14.125" style="249" customWidth="1"/>
    <col min="15866" max="15866" width="12.5" style="249" customWidth="1"/>
    <col min="15867" max="16114" width="9" style="249"/>
    <col min="16115" max="16115" width="18.375" style="249" customWidth="1"/>
    <col min="16116" max="16116" width="13.5" style="249" customWidth="1"/>
    <col min="16117" max="16117" width="15.625" style="249" customWidth="1"/>
    <col min="16118" max="16118" width="10.75" style="249" customWidth="1"/>
    <col min="16119" max="16119" width="18.125" style="249" customWidth="1"/>
    <col min="16120" max="16120" width="16.25" style="249" customWidth="1"/>
    <col min="16121" max="16121" width="14.125" style="249" customWidth="1"/>
    <col min="16122" max="16122" width="12.5" style="249" customWidth="1"/>
    <col min="16123" max="16384" width="9" style="249"/>
  </cols>
  <sheetData>
    <row r="1" spans="1:7" ht="26.25" customHeight="1">
      <c r="A1" s="246" t="s">
        <v>227</v>
      </c>
      <c r="B1" s="247"/>
      <c r="C1" s="247"/>
      <c r="D1" s="247"/>
      <c r="E1" s="247"/>
      <c r="F1" s="247"/>
      <c r="G1" s="248"/>
    </row>
    <row r="2" spans="1:7" ht="15" customHeight="1">
      <c r="A2" s="246"/>
      <c r="B2" s="247"/>
      <c r="C2" s="247"/>
      <c r="D2" s="247"/>
      <c r="E2" s="247"/>
      <c r="F2" s="247"/>
      <c r="G2" s="248"/>
    </row>
    <row r="3" spans="1:7" ht="26.25" customHeight="1">
      <c r="A3" s="667" t="s">
        <v>228</v>
      </c>
      <c r="B3" s="668"/>
      <c r="C3" s="668"/>
      <c r="D3" s="669" t="s">
        <v>229</v>
      </c>
      <c r="E3" s="670"/>
      <c r="F3" s="671"/>
      <c r="G3" s="250"/>
    </row>
    <row r="4" spans="1:7" s="251" customFormat="1" ht="15.75">
      <c r="B4" s="252"/>
      <c r="C4" s="252"/>
      <c r="D4" s="253"/>
      <c r="E4" s="252"/>
      <c r="F4" s="252"/>
      <c r="G4" s="254"/>
    </row>
    <row r="5" spans="1:7" s="251" customFormat="1" ht="15.75">
      <c r="A5" s="255" t="s">
        <v>230</v>
      </c>
      <c r="B5" s="252"/>
      <c r="C5" s="252"/>
      <c r="D5" s="253"/>
      <c r="E5" s="252"/>
      <c r="F5" s="252"/>
      <c r="G5" s="254"/>
    </row>
    <row r="6" spans="1:7" s="251" customFormat="1" ht="15.75">
      <c r="A6" s="256" t="str">
        <f>"No. of " &amp;  D3</f>
        <v>No. of Layer</v>
      </c>
      <c r="B6" s="257"/>
      <c r="C6" s="257"/>
      <c r="D6" s="672">
        <v>0</v>
      </c>
      <c r="E6" s="673"/>
      <c r="F6" s="674"/>
      <c r="G6" s="254"/>
    </row>
    <row r="7" spans="1:7" s="251" customFormat="1" ht="15.75">
      <c r="A7" s="256" t="str">
        <f xml:space="preserve"> "PURCHASE PRICE PER " &amp; D3</f>
        <v>PURCHASE PRICE PER Layer</v>
      </c>
      <c r="B7" s="257"/>
      <c r="C7" s="257"/>
      <c r="D7" s="678">
        <v>0</v>
      </c>
      <c r="E7" s="679"/>
      <c r="F7" s="680"/>
      <c r="G7" s="254"/>
    </row>
    <row r="8" spans="1:7" s="251" customFormat="1" ht="15.75">
      <c r="A8" s="256" t="s">
        <v>231</v>
      </c>
      <c r="B8" s="257"/>
      <c r="C8" s="258"/>
      <c r="D8" s="672">
        <v>8</v>
      </c>
      <c r="E8" s="673"/>
      <c r="F8" s="674"/>
      <c r="G8" s="254"/>
    </row>
    <row r="9" spans="1:7" s="251" customFormat="1" ht="15.75">
      <c r="A9" s="256" t="s">
        <v>232</v>
      </c>
      <c r="B9" s="257"/>
      <c r="C9" s="258"/>
      <c r="D9" s="672">
        <v>18</v>
      </c>
      <c r="E9" s="673"/>
      <c r="F9" s="674"/>
      <c r="G9" s="254"/>
    </row>
    <row r="10" spans="1:7" s="251" customFormat="1" ht="15.75">
      <c r="A10" s="256" t="str">
        <f xml:space="preserve"> "Eggs per Day and " &amp; D3</f>
        <v>Eggs per Day and Layer</v>
      </c>
      <c r="B10" s="257"/>
      <c r="C10" s="258"/>
      <c r="D10" s="672">
        <v>1</v>
      </c>
      <c r="E10" s="673"/>
      <c r="F10" s="674"/>
      <c r="G10" s="254"/>
    </row>
    <row r="11" spans="1:7" s="251" customFormat="1" ht="15.75">
      <c r="A11" s="256"/>
      <c r="B11" s="257"/>
      <c r="C11" s="258"/>
      <c r="G11" s="254"/>
    </row>
    <row r="12" spans="1:7" s="251" customFormat="1" ht="15.75">
      <c r="A12" s="291" t="s">
        <v>233</v>
      </c>
      <c r="B12" s="257"/>
      <c r="C12" s="257"/>
      <c r="G12" s="254"/>
    </row>
    <row r="13" spans="1:7" s="251" customFormat="1" ht="15.75">
      <c r="A13" s="261" t="s">
        <v>234</v>
      </c>
      <c r="B13" s="252"/>
      <c r="C13" s="252"/>
      <c r="D13" s="252"/>
      <c r="E13" s="262"/>
      <c r="F13" s="262"/>
      <c r="G13" s="254"/>
    </row>
    <row r="14" spans="1:7" s="251" customFormat="1" ht="15.75">
      <c r="A14" s="263"/>
      <c r="B14" s="264"/>
      <c r="C14" s="265" t="s">
        <v>235</v>
      </c>
      <c r="D14" s="265" t="s">
        <v>236</v>
      </c>
      <c r="E14" s="265" t="str">
        <f>"PER "&amp;D3&amp;" COST"</f>
        <v>PER Layer COST</v>
      </c>
      <c r="F14" s="265" t="s">
        <v>237</v>
      </c>
      <c r="G14" s="254"/>
    </row>
    <row r="15" spans="1:7" s="251" customFormat="1" ht="15">
      <c r="A15" s="251" t="str">
        <f>A7</f>
        <v>PURCHASE PRICE PER Layer</v>
      </c>
      <c r="B15" s="252"/>
      <c r="C15" s="252"/>
      <c r="D15" s="252">
        <f>D6</f>
        <v>0</v>
      </c>
      <c r="E15" s="268">
        <f>+D7</f>
        <v>0</v>
      </c>
      <c r="F15" s="268">
        <f>D7*D6</f>
        <v>0</v>
      </c>
      <c r="G15" s="254"/>
    </row>
    <row r="16" spans="1:7" s="251" customFormat="1" ht="15">
      <c r="A16" s="251" t="s">
        <v>238</v>
      </c>
      <c r="B16" s="252"/>
      <c r="C16" s="368">
        <v>0</v>
      </c>
      <c r="D16" s="369">
        <v>0</v>
      </c>
      <c r="F16" s="268">
        <f>C16*D16</f>
        <v>0</v>
      </c>
      <c r="G16" s="254"/>
    </row>
    <row r="17" spans="1:7" s="251" customFormat="1" ht="15">
      <c r="A17" s="251" t="s">
        <v>239</v>
      </c>
      <c r="B17" s="252"/>
      <c r="C17" s="368">
        <v>0</v>
      </c>
      <c r="D17" s="369">
        <v>0</v>
      </c>
      <c r="F17" s="268">
        <f>C17*D17</f>
        <v>0</v>
      </c>
      <c r="G17" s="254"/>
    </row>
    <row r="18" spans="1:7" s="251" customFormat="1" ht="15">
      <c r="A18" s="251" t="s">
        <v>240</v>
      </c>
      <c r="B18" s="252"/>
      <c r="C18" s="370">
        <v>0.01</v>
      </c>
      <c r="D18" s="252"/>
      <c r="F18" s="268">
        <f>(F16+F17)*C18</f>
        <v>0</v>
      </c>
      <c r="G18" s="254"/>
    </row>
    <row r="19" spans="1:7" s="251" customFormat="1" ht="15">
      <c r="A19" s="251" t="s">
        <v>241</v>
      </c>
      <c r="B19" s="252"/>
      <c r="C19" s="252"/>
      <c r="D19" s="252"/>
      <c r="F19" s="368">
        <v>0</v>
      </c>
      <c r="G19" s="254"/>
    </row>
    <row r="20" spans="1:7" s="251" customFormat="1" ht="15">
      <c r="G20" s="254"/>
    </row>
    <row r="21" spans="1:7" s="251" customFormat="1" ht="15.75">
      <c r="A21" s="269" t="s">
        <v>242</v>
      </c>
      <c r="B21" s="270"/>
      <c r="C21" s="270"/>
      <c r="D21" s="270"/>
      <c r="E21" s="271"/>
      <c r="F21" s="272">
        <f>SUM(F15:F20)</f>
        <v>0</v>
      </c>
      <c r="G21" s="254"/>
    </row>
    <row r="22" spans="1:7" s="251" customFormat="1" ht="15">
      <c r="G22" s="254"/>
    </row>
    <row r="23" spans="1:7" s="251" customFormat="1" ht="15.75">
      <c r="A23" s="255" t="s">
        <v>243</v>
      </c>
      <c r="G23" s="254"/>
    </row>
    <row r="24" spans="1:7" s="251" customFormat="1" ht="15.75">
      <c r="A24" s="263"/>
      <c r="B24" s="265" t="s">
        <v>236</v>
      </c>
      <c r="C24" s="265" t="s">
        <v>244</v>
      </c>
      <c r="D24" s="265" t="s">
        <v>245</v>
      </c>
      <c r="E24" s="265" t="s">
        <v>246</v>
      </c>
      <c r="F24" s="265" t="s">
        <v>247</v>
      </c>
      <c r="G24" s="254"/>
    </row>
    <row r="25" spans="1:7" s="251" customFormat="1" ht="15">
      <c r="A25" s="251" t="s">
        <v>248</v>
      </c>
      <c r="B25" s="369">
        <v>0</v>
      </c>
      <c r="C25" s="368">
        <v>0</v>
      </c>
      <c r="D25" s="252">
        <f>D8*4</f>
        <v>32</v>
      </c>
      <c r="E25" s="252"/>
      <c r="F25" s="268">
        <f>B25*C25*D25</f>
        <v>0</v>
      </c>
      <c r="G25" s="254"/>
    </row>
    <row r="26" spans="1:7" s="251" customFormat="1" ht="15">
      <c r="A26" s="251" t="s">
        <v>249</v>
      </c>
      <c r="B26" s="369">
        <v>0</v>
      </c>
      <c r="C26" s="368">
        <v>0</v>
      </c>
      <c r="D26" s="252">
        <f>D8*4</f>
        <v>32</v>
      </c>
      <c r="E26" s="252"/>
      <c r="F26" s="268">
        <f>B26*C26*D26</f>
        <v>0</v>
      </c>
      <c r="G26" s="254"/>
    </row>
    <row r="27" spans="1:7" s="251" customFormat="1" ht="15">
      <c r="A27" s="251" t="s">
        <v>250</v>
      </c>
      <c r="B27" s="252"/>
      <c r="C27" s="252"/>
      <c r="D27" s="252"/>
      <c r="E27" s="368">
        <v>0</v>
      </c>
      <c r="F27" s="268">
        <f>+E27</f>
        <v>0</v>
      </c>
      <c r="G27" s="254"/>
    </row>
    <row r="28" spans="1:7" s="251" customFormat="1" ht="15.75">
      <c r="A28" s="269" t="s">
        <v>242</v>
      </c>
      <c r="B28" s="270"/>
      <c r="C28" s="270"/>
      <c r="D28" s="270"/>
      <c r="E28" s="271"/>
      <c r="F28" s="272">
        <f>SUM(F25:F27)</f>
        <v>0</v>
      </c>
      <c r="G28" s="254"/>
    </row>
    <row r="29" spans="1:7" s="251" customFormat="1" ht="15">
      <c r="G29" s="254"/>
    </row>
    <row r="30" spans="1:7" s="251" customFormat="1" ht="15.75">
      <c r="A30" s="269" t="s">
        <v>251</v>
      </c>
      <c r="B30" s="270"/>
      <c r="C30" s="270"/>
      <c r="D30" s="270"/>
      <c r="E30" s="271"/>
      <c r="F30" s="272">
        <f>+F21+F28</f>
        <v>0</v>
      </c>
      <c r="G30" s="254"/>
    </row>
    <row r="31" spans="1:7" s="251" customFormat="1" ht="15.75">
      <c r="A31" s="269" t="str">
        <f>"Total Production Costs to Maturity per " &amp; D3</f>
        <v>Total Production Costs to Maturity per Layer</v>
      </c>
      <c r="B31" s="270"/>
      <c r="C31" s="270"/>
      <c r="D31" s="270"/>
      <c r="E31" s="271"/>
      <c r="F31" s="272">
        <f>IF(ISERR(F30/D6),0,F30/D6)</f>
        <v>0</v>
      </c>
      <c r="G31" s="274"/>
    </row>
    <row r="32" spans="1:7" s="251" customFormat="1" ht="15">
      <c r="A32" s="275"/>
      <c r="B32" s="275"/>
      <c r="C32" s="275"/>
      <c r="D32" s="275"/>
      <c r="E32" s="275"/>
      <c r="F32" s="275"/>
      <c r="G32" s="274"/>
    </row>
    <row r="33" spans="1:7" s="251" customFormat="1" ht="15.75">
      <c r="A33" s="291" t="s">
        <v>252</v>
      </c>
      <c r="B33" s="275"/>
      <c r="C33" s="275"/>
      <c r="D33" s="275"/>
      <c r="E33" s="275"/>
      <c r="F33" s="275"/>
      <c r="G33" s="274"/>
    </row>
    <row r="34" spans="1:7" s="251" customFormat="1" ht="15.75">
      <c r="A34" s="261" t="s">
        <v>234</v>
      </c>
      <c r="B34" s="252"/>
      <c r="C34" s="252"/>
      <c r="D34" s="252"/>
      <c r="E34" s="262"/>
      <c r="F34" s="262"/>
      <c r="G34" s="274"/>
    </row>
    <row r="35" spans="1:7" s="251" customFormat="1" ht="15.75">
      <c r="A35" s="263"/>
      <c r="B35" s="264"/>
      <c r="C35" s="265" t="s">
        <v>235</v>
      </c>
      <c r="D35" s="265" t="s">
        <v>253</v>
      </c>
      <c r="E35" s="265" t="s">
        <v>254</v>
      </c>
      <c r="F35" s="265" t="s">
        <v>237</v>
      </c>
      <c r="G35" s="274"/>
    </row>
    <row r="36" spans="1:7" s="251" customFormat="1" ht="15">
      <c r="A36" s="251" t="s">
        <v>255</v>
      </c>
      <c r="B36" s="252"/>
      <c r="C36" s="368">
        <v>0</v>
      </c>
      <c r="D36" s="369">
        <v>6</v>
      </c>
      <c r="E36" s="251">
        <f>D9</f>
        <v>18</v>
      </c>
      <c r="F36" s="268">
        <f>C36*D36*E36*30</f>
        <v>0</v>
      </c>
      <c r="G36" s="274"/>
    </row>
    <row r="37" spans="1:7" s="251" customFormat="1" ht="15">
      <c r="A37" s="251" t="s">
        <v>240</v>
      </c>
      <c r="B37" s="252"/>
      <c r="C37" s="370">
        <v>1.4999999999999999E-2</v>
      </c>
      <c r="D37" s="252"/>
      <c r="F37" s="268">
        <f>F36*C37</f>
        <v>0</v>
      </c>
      <c r="G37" s="274"/>
    </row>
    <row r="38" spans="1:7" s="251" customFormat="1" ht="15">
      <c r="A38" s="251" t="s">
        <v>241</v>
      </c>
      <c r="B38" s="252"/>
      <c r="C38" s="252"/>
      <c r="D38" s="252"/>
      <c r="F38" s="368">
        <v>0</v>
      </c>
      <c r="G38" s="274"/>
    </row>
    <row r="39" spans="1:7" s="251" customFormat="1" ht="15">
      <c r="G39" s="274"/>
    </row>
    <row r="40" spans="1:7" s="251" customFormat="1" ht="15.75">
      <c r="A40" s="269" t="s">
        <v>242</v>
      </c>
      <c r="B40" s="270"/>
      <c r="C40" s="270"/>
      <c r="D40" s="270"/>
      <c r="E40" s="271"/>
      <c r="F40" s="272">
        <f>SUM(F36:F39)</f>
        <v>0</v>
      </c>
      <c r="G40" s="274"/>
    </row>
    <row r="41" spans="1:7" s="251" customFormat="1" ht="15">
      <c r="G41" s="274"/>
    </row>
    <row r="42" spans="1:7" s="251" customFormat="1" ht="15.75">
      <c r="A42" s="255" t="s">
        <v>243</v>
      </c>
      <c r="G42" s="274"/>
    </row>
    <row r="43" spans="1:7" s="251" customFormat="1" ht="15.75">
      <c r="A43" s="263"/>
      <c r="B43" s="265" t="s">
        <v>236</v>
      </c>
      <c r="C43" s="265" t="s">
        <v>244</v>
      </c>
      <c r="D43" s="265" t="s">
        <v>245</v>
      </c>
      <c r="E43" s="265" t="s">
        <v>246</v>
      </c>
      <c r="F43" s="265" t="s">
        <v>247</v>
      </c>
      <c r="G43" s="274"/>
    </row>
    <row r="44" spans="1:7" s="251" customFormat="1" ht="15">
      <c r="A44" s="251" t="s">
        <v>248</v>
      </c>
      <c r="B44" s="369">
        <v>0</v>
      </c>
      <c r="C44" s="368">
        <v>0</v>
      </c>
      <c r="D44" s="252">
        <f>D9*4</f>
        <v>72</v>
      </c>
      <c r="E44" s="252"/>
      <c r="F44" s="268">
        <f>B44*C44*D44</f>
        <v>0</v>
      </c>
      <c r="G44" s="274"/>
    </row>
    <row r="45" spans="1:7" s="251" customFormat="1" ht="15">
      <c r="A45" s="251" t="s">
        <v>249</v>
      </c>
      <c r="B45" s="369">
        <v>0</v>
      </c>
      <c r="C45" s="368">
        <v>0</v>
      </c>
      <c r="D45" s="252">
        <f>D44</f>
        <v>72</v>
      </c>
      <c r="E45" s="252"/>
      <c r="F45" s="268">
        <f>B45*C45*D45</f>
        <v>0</v>
      </c>
      <c r="G45" s="274"/>
    </row>
    <row r="46" spans="1:7" s="251" customFormat="1" ht="15">
      <c r="A46" s="251" t="s">
        <v>250</v>
      </c>
      <c r="B46" s="252"/>
      <c r="C46" s="252"/>
      <c r="D46" s="252"/>
      <c r="E46" s="368">
        <v>0</v>
      </c>
      <c r="F46" s="268">
        <f>E46*D9</f>
        <v>0</v>
      </c>
      <c r="G46" s="274"/>
    </row>
    <row r="47" spans="1:7" s="251" customFormat="1" ht="15.75">
      <c r="A47" s="269" t="s">
        <v>242</v>
      </c>
      <c r="B47" s="270"/>
      <c r="C47" s="270"/>
      <c r="D47" s="270"/>
      <c r="E47" s="271"/>
      <c r="F47" s="272">
        <f>SUM(F44:F46)</f>
        <v>0</v>
      </c>
      <c r="G47" s="274"/>
    </row>
    <row r="48" spans="1:7" s="251" customFormat="1" ht="15">
      <c r="G48" s="274"/>
    </row>
    <row r="49" spans="1:7" s="251" customFormat="1" ht="15.75">
      <c r="A49" s="269" t="s">
        <v>256</v>
      </c>
      <c r="B49" s="270"/>
      <c r="C49" s="270"/>
      <c r="D49" s="270"/>
      <c r="E49" s="271"/>
      <c r="F49" s="272">
        <f>+F40+F47</f>
        <v>0</v>
      </c>
      <c r="G49" s="274"/>
    </row>
    <row r="50" spans="1:7" s="251" customFormat="1" ht="15.75">
      <c r="A50" s="269" t="str">
        <f>"Total Laying Life Costs per " &amp; D3</f>
        <v>Total Laying Life Costs per Layer</v>
      </c>
      <c r="B50" s="270"/>
      <c r="C50" s="270"/>
      <c r="D50" s="270"/>
      <c r="E50" s="271"/>
      <c r="F50" s="272">
        <f>IF(ISERR(F49/D6),0,F49/D6)</f>
        <v>0</v>
      </c>
      <c r="G50" s="274"/>
    </row>
    <row r="51" spans="1:7" s="251" customFormat="1" ht="15">
      <c r="A51" s="275"/>
      <c r="B51" s="275"/>
      <c r="C51" s="275"/>
      <c r="D51" s="275"/>
      <c r="E51" s="275"/>
      <c r="F51" s="275"/>
      <c r="G51" s="274"/>
    </row>
    <row r="52" spans="1:7" s="251" customFormat="1" ht="18.75">
      <c r="A52" s="292" t="s">
        <v>257</v>
      </c>
      <c r="B52" s="293"/>
      <c r="C52" s="293"/>
      <c r="D52" s="293"/>
      <c r="E52" s="294"/>
      <c r="F52" s="295">
        <f>F30+F49</f>
        <v>0</v>
      </c>
      <c r="G52" s="274"/>
    </row>
    <row r="53" spans="1:7" s="251" customFormat="1" ht="18.75">
      <c r="A53" s="292" t="str">
        <f>"Total Costs per " &amp; D3</f>
        <v>Total Costs per Layer</v>
      </c>
      <c r="B53" s="293"/>
      <c r="C53" s="293"/>
      <c r="D53" s="293"/>
      <c r="E53" s="294"/>
      <c r="F53" s="295">
        <f>IF(ISERR(F52/D6),0,F52/D6)</f>
        <v>0</v>
      </c>
      <c r="G53" s="274"/>
    </row>
    <row r="54" spans="1:7" s="251" customFormat="1" ht="18.75">
      <c r="A54" s="296" t="str">
        <f>"Total Costs per Day and per " &amp; D3</f>
        <v>Total Costs per Day and per Layer</v>
      </c>
      <c r="B54" s="296"/>
      <c r="C54" s="296"/>
      <c r="D54" s="296"/>
      <c r="E54" s="297"/>
      <c r="F54" s="297">
        <f>F53/((D8+D9)*30)</f>
        <v>0</v>
      </c>
      <c r="G54" s="274"/>
    </row>
    <row r="55" spans="1:7" s="251" customFormat="1" ht="16.5" thickBot="1">
      <c r="A55" s="298"/>
      <c r="B55" s="298"/>
      <c r="C55" s="298"/>
      <c r="D55" s="298"/>
      <c r="E55" s="299"/>
      <c r="F55" s="299"/>
      <c r="G55" s="274"/>
    </row>
    <row r="56" spans="1:7" ht="18.75" thickBot="1">
      <c r="A56" s="681" t="s">
        <v>258</v>
      </c>
      <c r="B56" s="682"/>
      <c r="C56" s="682"/>
      <c r="D56" s="682"/>
      <c r="E56" s="683"/>
      <c r="F56" s="281">
        <v>0</v>
      </c>
      <c r="G56" s="284"/>
    </row>
    <row r="57" spans="1:7" ht="14.25">
      <c r="A57" s="285"/>
      <c r="B57" s="286"/>
      <c r="C57" s="249"/>
      <c r="D57" s="282"/>
      <c r="F57" s="287"/>
      <c r="G57" s="284"/>
    </row>
    <row r="58" spans="1:7" ht="15">
      <c r="A58" s="684" t="s">
        <v>259</v>
      </c>
      <c r="B58" s="685"/>
      <c r="C58" s="685"/>
      <c r="D58" s="685"/>
      <c r="E58" s="685"/>
      <c r="F58" s="300">
        <f>D6*D9*30*D10</f>
        <v>0</v>
      </c>
      <c r="G58" s="284"/>
    </row>
    <row r="59" spans="1:7" ht="15">
      <c r="A59" s="251" t="s">
        <v>240</v>
      </c>
      <c r="B59" s="252"/>
      <c r="C59" s="370">
        <v>0.15</v>
      </c>
      <c r="D59" s="412"/>
      <c r="E59" s="412"/>
      <c r="F59" s="300">
        <f>F58*C59</f>
        <v>0</v>
      </c>
      <c r="G59" s="284"/>
    </row>
    <row r="60" spans="1:7" ht="15.75">
      <c r="A60" s="269" t="s">
        <v>260</v>
      </c>
      <c r="B60" s="270"/>
      <c r="C60" s="270"/>
      <c r="D60" s="270"/>
      <c r="E60" s="271"/>
      <c r="F60" s="301">
        <f>F58-F59</f>
        <v>0</v>
      </c>
      <c r="G60" s="284"/>
    </row>
    <row r="61" spans="1:7" ht="14.25">
      <c r="A61" s="285"/>
      <c r="B61" s="286"/>
      <c r="C61" s="249"/>
      <c r="D61" s="282"/>
      <c r="F61" s="287"/>
    </row>
    <row r="62" spans="1:7" ht="16.5" thickBot="1">
      <c r="A62" s="677" t="s">
        <v>261</v>
      </c>
      <c r="B62" s="677"/>
      <c r="C62" s="249"/>
      <c r="D62" s="282"/>
      <c r="F62" s="287"/>
    </row>
    <row r="63" spans="1:7" ht="15.75" thickBot="1">
      <c r="A63" s="686" t="str">
        <f xml:space="preserve"> "Profit margin per " &amp; D3</f>
        <v>Profit margin per Layer</v>
      </c>
      <c r="B63" s="687"/>
      <c r="C63" s="288">
        <f>IF(ISERR(C64*D9*30),0,C64*D9*30)</f>
        <v>0</v>
      </c>
      <c r="D63" s="282"/>
      <c r="F63" s="249"/>
    </row>
    <row r="64" spans="1:7" ht="15.75" thickBot="1">
      <c r="A64" s="413" t="s">
        <v>262</v>
      </c>
      <c r="B64" s="414"/>
      <c r="C64" s="279">
        <f>IF(ISERR(C66/F60),0,C66/F60)</f>
        <v>0</v>
      </c>
      <c r="D64" s="282"/>
      <c r="F64" s="249"/>
    </row>
    <row r="65" spans="1:5" s="249" customFormat="1" ht="15.75" thickBot="1">
      <c r="A65" s="686" t="s">
        <v>263</v>
      </c>
      <c r="B65" s="687"/>
      <c r="C65" s="279">
        <f>F60*F56</f>
        <v>0</v>
      </c>
      <c r="D65" s="282"/>
      <c r="E65" s="283"/>
    </row>
    <row r="66" spans="1:5" s="249" customFormat="1" ht="16.5" thickBot="1">
      <c r="A66" s="675" t="s">
        <v>264</v>
      </c>
      <c r="B66" s="676"/>
      <c r="C66" s="289">
        <f>C65-F52</f>
        <v>0</v>
      </c>
      <c r="D66" s="282"/>
      <c r="E66" s="283"/>
    </row>
    <row r="68" spans="1:5" ht="15.75">
      <c r="D68" s="379" t="s">
        <v>211</v>
      </c>
      <c r="E68" s="385"/>
    </row>
  </sheetData>
  <sheetProtection sheet="1" objects="1" scenarios="1"/>
  <mergeCells count="13">
    <mergeCell ref="A3:C3"/>
    <mergeCell ref="D3:F3"/>
    <mergeCell ref="D6:F6"/>
    <mergeCell ref="A66:B66"/>
    <mergeCell ref="A62:B62"/>
    <mergeCell ref="D7:F7"/>
    <mergeCell ref="D8:F8"/>
    <mergeCell ref="D9:F9"/>
    <mergeCell ref="A56:E56"/>
    <mergeCell ref="A58:E58"/>
    <mergeCell ref="D10:F10"/>
    <mergeCell ref="A63:B63"/>
    <mergeCell ref="A65:B65"/>
  </mergeCells>
  <dataValidations count="3">
    <dataValidation type="list" allowBlank="1" showInputMessage="1" showErrorMessage="1" sqref="WUX983061:WUZ983061 IL3:IN3 SH3:SJ3 ACD3:ACF3 ALZ3:AMB3 AVV3:AVX3 BFR3:BFT3 BPN3:BPP3 BZJ3:BZL3 CJF3:CJH3 CTB3:CTD3 DCX3:DCZ3 DMT3:DMV3 DWP3:DWR3 EGL3:EGN3 EQH3:EQJ3 FAD3:FAF3 FJZ3:FKB3 FTV3:FTX3 GDR3:GDT3 GNN3:GNP3 GXJ3:GXL3 HHF3:HHH3 HRB3:HRD3 IAX3:IAZ3 IKT3:IKV3 IUP3:IUR3 JEL3:JEN3 JOH3:JOJ3 JYD3:JYF3 KHZ3:KIB3 KRV3:KRX3 LBR3:LBT3 LLN3:LLP3 LVJ3:LVL3 MFF3:MFH3 MPB3:MPD3 MYX3:MYZ3 NIT3:NIV3 NSP3:NSR3 OCL3:OCN3 OMH3:OMJ3 OWD3:OWF3 PFZ3:PGB3 PPV3:PPX3 PZR3:PZT3 QJN3:QJP3 QTJ3:QTL3 RDF3:RDH3 RNB3:RND3 RWX3:RWZ3 SGT3:SGV3 SQP3:SQR3 TAL3:TAN3 TKH3:TKJ3 TUD3:TUF3 UDZ3:UEB3 UNV3:UNX3 UXR3:UXT3 VHN3:VHP3 VRJ3:VRL3 WBF3:WBH3 WLB3:WLD3 WUX3:WUZ3 D65557:F65557 IL65557:IN65557 SH65557:SJ65557 ACD65557:ACF65557 ALZ65557:AMB65557 AVV65557:AVX65557 BFR65557:BFT65557 BPN65557:BPP65557 BZJ65557:BZL65557 CJF65557:CJH65557 CTB65557:CTD65557 DCX65557:DCZ65557 DMT65557:DMV65557 DWP65557:DWR65557 EGL65557:EGN65557 EQH65557:EQJ65557 FAD65557:FAF65557 FJZ65557:FKB65557 FTV65557:FTX65557 GDR65557:GDT65557 GNN65557:GNP65557 GXJ65557:GXL65557 HHF65557:HHH65557 HRB65557:HRD65557 IAX65557:IAZ65557 IKT65557:IKV65557 IUP65557:IUR65557 JEL65557:JEN65557 JOH65557:JOJ65557 JYD65557:JYF65557 KHZ65557:KIB65557 KRV65557:KRX65557 LBR65557:LBT65557 LLN65557:LLP65557 LVJ65557:LVL65557 MFF65557:MFH65557 MPB65557:MPD65557 MYX65557:MYZ65557 NIT65557:NIV65557 NSP65557:NSR65557 OCL65557:OCN65557 OMH65557:OMJ65557 OWD65557:OWF65557 PFZ65557:PGB65557 PPV65557:PPX65557 PZR65557:PZT65557 QJN65557:QJP65557 QTJ65557:QTL65557 RDF65557:RDH65557 RNB65557:RND65557 RWX65557:RWZ65557 SGT65557:SGV65557 SQP65557:SQR65557 TAL65557:TAN65557 TKH65557:TKJ65557 TUD65557:TUF65557 UDZ65557:UEB65557 UNV65557:UNX65557 UXR65557:UXT65557 VHN65557:VHP65557 VRJ65557:VRL65557 WBF65557:WBH65557 WLB65557:WLD65557 WUX65557:WUZ65557 D131093:F131093 IL131093:IN131093 SH131093:SJ131093 ACD131093:ACF131093 ALZ131093:AMB131093 AVV131093:AVX131093 BFR131093:BFT131093 BPN131093:BPP131093 BZJ131093:BZL131093 CJF131093:CJH131093 CTB131093:CTD131093 DCX131093:DCZ131093 DMT131093:DMV131093 DWP131093:DWR131093 EGL131093:EGN131093 EQH131093:EQJ131093 FAD131093:FAF131093 FJZ131093:FKB131093 FTV131093:FTX131093 GDR131093:GDT131093 GNN131093:GNP131093 GXJ131093:GXL131093 HHF131093:HHH131093 HRB131093:HRD131093 IAX131093:IAZ131093 IKT131093:IKV131093 IUP131093:IUR131093 JEL131093:JEN131093 JOH131093:JOJ131093 JYD131093:JYF131093 KHZ131093:KIB131093 KRV131093:KRX131093 LBR131093:LBT131093 LLN131093:LLP131093 LVJ131093:LVL131093 MFF131093:MFH131093 MPB131093:MPD131093 MYX131093:MYZ131093 NIT131093:NIV131093 NSP131093:NSR131093 OCL131093:OCN131093 OMH131093:OMJ131093 OWD131093:OWF131093 PFZ131093:PGB131093 PPV131093:PPX131093 PZR131093:PZT131093 QJN131093:QJP131093 QTJ131093:QTL131093 RDF131093:RDH131093 RNB131093:RND131093 RWX131093:RWZ131093 SGT131093:SGV131093 SQP131093:SQR131093 TAL131093:TAN131093 TKH131093:TKJ131093 TUD131093:TUF131093 UDZ131093:UEB131093 UNV131093:UNX131093 UXR131093:UXT131093 VHN131093:VHP131093 VRJ131093:VRL131093 WBF131093:WBH131093 WLB131093:WLD131093 WUX131093:WUZ131093 D196629:F196629 IL196629:IN196629 SH196629:SJ196629 ACD196629:ACF196629 ALZ196629:AMB196629 AVV196629:AVX196629 BFR196629:BFT196629 BPN196629:BPP196629 BZJ196629:BZL196629 CJF196629:CJH196629 CTB196629:CTD196629 DCX196629:DCZ196629 DMT196629:DMV196629 DWP196629:DWR196629 EGL196629:EGN196629 EQH196629:EQJ196629 FAD196629:FAF196629 FJZ196629:FKB196629 FTV196629:FTX196629 GDR196629:GDT196629 GNN196629:GNP196629 GXJ196629:GXL196629 HHF196629:HHH196629 HRB196629:HRD196629 IAX196629:IAZ196629 IKT196629:IKV196629 IUP196629:IUR196629 JEL196629:JEN196629 JOH196629:JOJ196629 JYD196629:JYF196629 KHZ196629:KIB196629 KRV196629:KRX196629 LBR196629:LBT196629 LLN196629:LLP196629 LVJ196629:LVL196629 MFF196629:MFH196629 MPB196629:MPD196629 MYX196629:MYZ196629 NIT196629:NIV196629 NSP196629:NSR196629 OCL196629:OCN196629 OMH196629:OMJ196629 OWD196629:OWF196629 PFZ196629:PGB196629 PPV196629:PPX196629 PZR196629:PZT196629 QJN196629:QJP196629 QTJ196629:QTL196629 RDF196629:RDH196629 RNB196629:RND196629 RWX196629:RWZ196629 SGT196629:SGV196629 SQP196629:SQR196629 TAL196629:TAN196629 TKH196629:TKJ196629 TUD196629:TUF196629 UDZ196629:UEB196629 UNV196629:UNX196629 UXR196629:UXT196629 VHN196629:VHP196629 VRJ196629:VRL196629 WBF196629:WBH196629 WLB196629:WLD196629 WUX196629:WUZ196629 D262165:F262165 IL262165:IN262165 SH262165:SJ262165 ACD262165:ACF262165 ALZ262165:AMB262165 AVV262165:AVX262165 BFR262165:BFT262165 BPN262165:BPP262165 BZJ262165:BZL262165 CJF262165:CJH262165 CTB262165:CTD262165 DCX262165:DCZ262165 DMT262165:DMV262165 DWP262165:DWR262165 EGL262165:EGN262165 EQH262165:EQJ262165 FAD262165:FAF262165 FJZ262165:FKB262165 FTV262165:FTX262165 GDR262165:GDT262165 GNN262165:GNP262165 GXJ262165:GXL262165 HHF262165:HHH262165 HRB262165:HRD262165 IAX262165:IAZ262165 IKT262165:IKV262165 IUP262165:IUR262165 JEL262165:JEN262165 JOH262165:JOJ262165 JYD262165:JYF262165 KHZ262165:KIB262165 KRV262165:KRX262165 LBR262165:LBT262165 LLN262165:LLP262165 LVJ262165:LVL262165 MFF262165:MFH262165 MPB262165:MPD262165 MYX262165:MYZ262165 NIT262165:NIV262165 NSP262165:NSR262165 OCL262165:OCN262165 OMH262165:OMJ262165 OWD262165:OWF262165 PFZ262165:PGB262165 PPV262165:PPX262165 PZR262165:PZT262165 QJN262165:QJP262165 QTJ262165:QTL262165 RDF262165:RDH262165 RNB262165:RND262165 RWX262165:RWZ262165 SGT262165:SGV262165 SQP262165:SQR262165 TAL262165:TAN262165 TKH262165:TKJ262165 TUD262165:TUF262165 UDZ262165:UEB262165 UNV262165:UNX262165 UXR262165:UXT262165 VHN262165:VHP262165 VRJ262165:VRL262165 WBF262165:WBH262165 WLB262165:WLD262165 WUX262165:WUZ262165 D327701:F327701 IL327701:IN327701 SH327701:SJ327701 ACD327701:ACF327701 ALZ327701:AMB327701 AVV327701:AVX327701 BFR327701:BFT327701 BPN327701:BPP327701 BZJ327701:BZL327701 CJF327701:CJH327701 CTB327701:CTD327701 DCX327701:DCZ327701 DMT327701:DMV327701 DWP327701:DWR327701 EGL327701:EGN327701 EQH327701:EQJ327701 FAD327701:FAF327701 FJZ327701:FKB327701 FTV327701:FTX327701 GDR327701:GDT327701 GNN327701:GNP327701 GXJ327701:GXL327701 HHF327701:HHH327701 HRB327701:HRD327701 IAX327701:IAZ327701 IKT327701:IKV327701 IUP327701:IUR327701 JEL327701:JEN327701 JOH327701:JOJ327701 JYD327701:JYF327701 KHZ327701:KIB327701 KRV327701:KRX327701 LBR327701:LBT327701 LLN327701:LLP327701 LVJ327701:LVL327701 MFF327701:MFH327701 MPB327701:MPD327701 MYX327701:MYZ327701 NIT327701:NIV327701 NSP327701:NSR327701 OCL327701:OCN327701 OMH327701:OMJ327701 OWD327701:OWF327701 PFZ327701:PGB327701 PPV327701:PPX327701 PZR327701:PZT327701 QJN327701:QJP327701 QTJ327701:QTL327701 RDF327701:RDH327701 RNB327701:RND327701 RWX327701:RWZ327701 SGT327701:SGV327701 SQP327701:SQR327701 TAL327701:TAN327701 TKH327701:TKJ327701 TUD327701:TUF327701 UDZ327701:UEB327701 UNV327701:UNX327701 UXR327701:UXT327701 VHN327701:VHP327701 VRJ327701:VRL327701 WBF327701:WBH327701 WLB327701:WLD327701 WUX327701:WUZ327701 D393237:F393237 IL393237:IN393237 SH393237:SJ393237 ACD393237:ACF393237 ALZ393237:AMB393237 AVV393237:AVX393237 BFR393237:BFT393237 BPN393237:BPP393237 BZJ393237:BZL393237 CJF393237:CJH393237 CTB393237:CTD393237 DCX393237:DCZ393237 DMT393237:DMV393237 DWP393237:DWR393237 EGL393237:EGN393237 EQH393237:EQJ393237 FAD393237:FAF393237 FJZ393237:FKB393237 FTV393237:FTX393237 GDR393237:GDT393237 GNN393237:GNP393237 GXJ393237:GXL393237 HHF393237:HHH393237 HRB393237:HRD393237 IAX393237:IAZ393237 IKT393237:IKV393237 IUP393237:IUR393237 JEL393237:JEN393237 JOH393237:JOJ393237 JYD393237:JYF393237 KHZ393237:KIB393237 KRV393237:KRX393237 LBR393237:LBT393237 LLN393237:LLP393237 LVJ393237:LVL393237 MFF393237:MFH393237 MPB393237:MPD393237 MYX393237:MYZ393237 NIT393237:NIV393237 NSP393237:NSR393237 OCL393237:OCN393237 OMH393237:OMJ393237 OWD393237:OWF393237 PFZ393237:PGB393237 PPV393237:PPX393237 PZR393237:PZT393237 QJN393237:QJP393237 QTJ393237:QTL393237 RDF393237:RDH393237 RNB393237:RND393237 RWX393237:RWZ393237 SGT393237:SGV393237 SQP393237:SQR393237 TAL393237:TAN393237 TKH393237:TKJ393237 TUD393237:TUF393237 UDZ393237:UEB393237 UNV393237:UNX393237 UXR393237:UXT393237 VHN393237:VHP393237 VRJ393237:VRL393237 WBF393237:WBH393237 WLB393237:WLD393237 WUX393237:WUZ393237 D458773:F458773 IL458773:IN458773 SH458773:SJ458773 ACD458773:ACF458773 ALZ458773:AMB458773 AVV458773:AVX458773 BFR458773:BFT458773 BPN458773:BPP458773 BZJ458773:BZL458773 CJF458773:CJH458773 CTB458773:CTD458773 DCX458773:DCZ458773 DMT458773:DMV458773 DWP458773:DWR458773 EGL458773:EGN458773 EQH458773:EQJ458773 FAD458773:FAF458773 FJZ458773:FKB458773 FTV458773:FTX458773 GDR458773:GDT458773 GNN458773:GNP458773 GXJ458773:GXL458773 HHF458773:HHH458773 HRB458773:HRD458773 IAX458773:IAZ458773 IKT458773:IKV458773 IUP458773:IUR458773 JEL458773:JEN458773 JOH458773:JOJ458773 JYD458773:JYF458773 KHZ458773:KIB458773 KRV458773:KRX458773 LBR458773:LBT458773 LLN458773:LLP458773 LVJ458773:LVL458773 MFF458773:MFH458773 MPB458773:MPD458773 MYX458773:MYZ458773 NIT458773:NIV458773 NSP458773:NSR458773 OCL458773:OCN458773 OMH458773:OMJ458773 OWD458773:OWF458773 PFZ458773:PGB458773 PPV458773:PPX458773 PZR458773:PZT458773 QJN458773:QJP458773 QTJ458773:QTL458773 RDF458773:RDH458773 RNB458773:RND458773 RWX458773:RWZ458773 SGT458773:SGV458773 SQP458773:SQR458773 TAL458773:TAN458773 TKH458773:TKJ458773 TUD458773:TUF458773 UDZ458773:UEB458773 UNV458773:UNX458773 UXR458773:UXT458773 VHN458773:VHP458773 VRJ458773:VRL458773 WBF458773:WBH458773 WLB458773:WLD458773 WUX458773:WUZ458773 D524309:F524309 IL524309:IN524309 SH524309:SJ524309 ACD524309:ACF524309 ALZ524309:AMB524309 AVV524309:AVX524309 BFR524309:BFT524309 BPN524309:BPP524309 BZJ524309:BZL524309 CJF524309:CJH524309 CTB524309:CTD524309 DCX524309:DCZ524309 DMT524309:DMV524309 DWP524309:DWR524309 EGL524309:EGN524309 EQH524309:EQJ524309 FAD524309:FAF524309 FJZ524309:FKB524309 FTV524309:FTX524309 GDR524309:GDT524309 GNN524309:GNP524309 GXJ524309:GXL524309 HHF524309:HHH524309 HRB524309:HRD524309 IAX524309:IAZ524309 IKT524309:IKV524309 IUP524309:IUR524309 JEL524309:JEN524309 JOH524309:JOJ524309 JYD524309:JYF524309 KHZ524309:KIB524309 KRV524309:KRX524309 LBR524309:LBT524309 LLN524309:LLP524309 LVJ524309:LVL524309 MFF524309:MFH524309 MPB524309:MPD524309 MYX524309:MYZ524309 NIT524309:NIV524309 NSP524309:NSR524309 OCL524309:OCN524309 OMH524309:OMJ524309 OWD524309:OWF524309 PFZ524309:PGB524309 PPV524309:PPX524309 PZR524309:PZT524309 QJN524309:QJP524309 QTJ524309:QTL524309 RDF524309:RDH524309 RNB524309:RND524309 RWX524309:RWZ524309 SGT524309:SGV524309 SQP524309:SQR524309 TAL524309:TAN524309 TKH524309:TKJ524309 TUD524309:TUF524309 UDZ524309:UEB524309 UNV524309:UNX524309 UXR524309:UXT524309 VHN524309:VHP524309 VRJ524309:VRL524309 WBF524309:WBH524309 WLB524309:WLD524309 WUX524309:WUZ524309 D589845:F589845 IL589845:IN589845 SH589845:SJ589845 ACD589845:ACF589845 ALZ589845:AMB589845 AVV589845:AVX589845 BFR589845:BFT589845 BPN589845:BPP589845 BZJ589845:BZL589845 CJF589845:CJH589845 CTB589845:CTD589845 DCX589845:DCZ589845 DMT589845:DMV589845 DWP589845:DWR589845 EGL589845:EGN589845 EQH589845:EQJ589845 FAD589845:FAF589845 FJZ589845:FKB589845 FTV589845:FTX589845 GDR589845:GDT589845 GNN589845:GNP589845 GXJ589845:GXL589845 HHF589845:HHH589845 HRB589845:HRD589845 IAX589845:IAZ589845 IKT589845:IKV589845 IUP589845:IUR589845 JEL589845:JEN589845 JOH589845:JOJ589845 JYD589845:JYF589845 KHZ589845:KIB589845 KRV589845:KRX589845 LBR589845:LBT589845 LLN589845:LLP589845 LVJ589845:LVL589845 MFF589845:MFH589845 MPB589845:MPD589845 MYX589845:MYZ589845 NIT589845:NIV589845 NSP589845:NSR589845 OCL589845:OCN589845 OMH589845:OMJ589845 OWD589845:OWF589845 PFZ589845:PGB589845 PPV589845:PPX589845 PZR589845:PZT589845 QJN589845:QJP589845 QTJ589845:QTL589845 RDF589845:RDH589845 RNB589845:RND589845 RWX589845:RWZ589845 SGT589845:SGV589845 SQP589845:SQR589845 TAL589845:TAN589845 TKH589845:TKJ589845 TUD589845:TUF589845 UDZ589845:UEB589845 UNV589845:UNX589845 UXR589845:UXT589845 VHN589845:VHP589845 VRJ589845:VRL589845 WBF589845:WBH589845 WLB589845:WLD589845 WUX589845:WUZ589845 D655381:F655381 IL655381:IN655381 SH655381:SJ655381 ACD655381:ACF655381 ALZ655381:AMB655381 AVV655381:AVX655381 BFR655381:BFT655381 BPN655381:BPP655381 BZJ655381:BZL655381 CJF655381:CJH655381 CTB655381:CTD655381 DCX655381:DCZ655381 DMT655381:DMV655381 DWP655381:DWR655381 EGL655381:EGN655381 EQH655381:EQJ655381 FAD655381:FAF655381 FJZ655381:FKB655381 FTV655381:FTX655381 GDR655381:GDT655381 GNN655381:GNP655381 GXJ655381:GXL655381 HHF655381:HHH655381 HRB655381:HRD655381 IAX655381:IAZ655381 IKT655381:IKV655381 IUP655381:IUR655381 JEL655381:JEN655381 JOH655381:JOJ655381 JYD655381:JYF655381 KHZ655381:KIB655381 KRV655381:KRX655381 LBR655381:LBT655381 LLN655381:LLP655381 LVJ655381:LVL655381 MFF655381:MFH655381 MPB655381:MPD655381 MYX655381:MYZ655381 NIT655381:NIV655381 NSP655381:NSR655381 OCL655381:OCN655381 OMH655381:OMJ655381 OWD655381:OWF655381 PFZ655381:PGB655381 PPV655381:PPX655381 PZR655381:PZT655381 QJN655381:QJP655381 QTJ655381:QTL655381 RDF655381:RDH655381 RNB655381:RND655381 RWX655381:RWZ655381 SGT655381:SGV655381 SQP655381:SQR655381 TAL655381:TAN655381 TKH655381:TKJ655381 TUD655381:TUF655381 UDZ655381:UEB655381 UNV655381:UNX655381 UXR655381:UXT655381 VHN655381:VHP655381 VRJ655381:VRL655381 WBF655381:WBH655381 WLB655381:WLD655381 WUX655381:WUZ655381 D720917:F720917 IL720917:IN720917 SH720917:SJ720917 ACD720917:ACF720917 ALZ720917:AMB720917 AVV720917:AVX720917 BFR720917:BFT720917 BPN720917:BPP720917 BZJ720917:BZL720917 CJF720917:CJH720917 CTB720917:CTD720917 DCX720917:DCZ720917 DMT720917:DMV720917 DWP720917:DWR720917 EGL720917:EGN720917 EQH720917:EQJ720917 FAD720917:FAF720917 FJZ720917:FKB720917 FTV720917:FTX720917 GDR720917:GDT720917 GNN720917:GNP720917 GXJ720917:GXL720917 HHF720917:HHH720917 HRB720917:HRD720917 IAX720917:IAZ720917 IKT720917:IKV720917 IUP720917:IUR720917 JEL720917:JEN720917 JOH720917:JOJ720917 JYD720917:JYF720917 KHZ720917:KIB720917 KRV720917:KRX720917 LBR720917:LBT720917 LLN720917:LLP720917 LVJ720917:LVL720917 MFF720917:MFH720917 MPB720917:MPD720917 MYX720917:MYZ720917 NIT720917:NIV720917 NSP720917:NSR720917 OCL720917:OCN720917 OMH720917:OMJ720917 OWD720917:OWF720917 PFZ720917:PGB720917 PPV720917:PPX720917 PZR720917:PZT720917 QJN720917:QJP720917 QTJ720917:QTL720917 RDF720917:RDH720917 RNB720917:RND720917 RWX720917:RWZ720917 SGT720917:SGV720917 SQP720917:SQR720917 TAL720917:TAN720917 TKH720917:TKJ720917 TUD720917:TUF720917 UDZ720917:UEB720917 UNV720917:UNX720917 UXR720917:UXT720917 VHN720917:VHP720917 VRJ720917:VRL720917 WBF720917:WBH720917 WLB720917:WLD720917 WUX720917:WUZ720917 D786453:F786453 IL786453:IN786453 SH786453:SJ786453 ACD786453:ACF786453 ALZ786453:AMB786453 AVV786453:AVX786453 BFR786453:BFT786453 BPN786453:BPP786453 BZJ786453:BZL786453 CJF786453:CJH786453 CTB786453:CTD786453 DCX786453:DCZ786453 DMT786453:DMV786453 DWP786453:DWR786453 EGL786453:EGN786453 EQH786453:EQJ786453 FAD786453:FAF786453 FJZ786453:FKB786453 FTV786453:FTX786453 GDR786453:GDT786453 GNN786453:GNP786453 GXJ786453:GXL786453 HHF786453:HHH786453 HRB786453:HRD786453 IAX786453:IAZ786453 IKT786453:IKV786453 IUP786453:IUR786453 JEL786453:JEN786453 JOH786453:JOJ786453 JYD786453:JYF786453 KHZ786453:KIB786453 KRV786453:KRX786453 LBR786453:LBT786453 LLN786453:LLP786453 LVJ786453:LVL786453 MFF786453:MFH786453 MPB786453:MPD786453 MYX786453:MYZ786453 NIT786453:NIV786453 NSP786453:NSR786453 OCL786453:OCN786453 OMH786453:OMJ786453 OWD786453:OWF786453 PFZ786453:PGB786453 PPV786453:PPX786453 PZR786453:PZT786453 QJN786453:QJP786453 QTJ786453:QTL786453 RDF786453:RDH786453 RNB786453:RND786453 RWX786453:RWZ786453 SGT786453:SGV786453 SQP786453:SQR786453 TAL786453:TAN786453 TKH786453:TKJ786453 TUD786453:TUF786453 UDZ786453:UEB786453 UNV786453:UNX786453 UXR786453:UXT786453 VHN786453:VHP786453 VRJ786453:VRL786453 WBF786453:WBH786453 WLB786453:WLD786453 WUX786453:WUZ786453 D851989:F851989 IL851989:IN851989 SH851989:SJ851989 ACD851989:ACF851989 ALZ851989:AMB851989 AVV851989:AVX851989 BFR851989:BFT851989 BPN851989:BPP851989 BZJ851989:BZL851989 CJF851989:CJH851989 CTB851989:CTD851989 DCX851989:DCZ851989 DMT851989:DMV851989 DWP851989:DWR851989 EGL851989:EGN851989 EQH851989:EQJ851989 FAD851989:FAF851989 FJZ851989:FKB851989 FTV851989:FTX851989 GDR851989:GDT851989 GNN851989:GNP851989 GXJ851989:GXL851989 HHF851989:HHH851989 HRB851989:HRD851989 IAX851989:IAZ851989 IKT851989:IKV851989 IUP851989:IUR851989 JEL851989:JEN851989 JOH851989:JOJ851989 JYD851989:JYF851989 KHZ851989:KIB851989 KRV851989:KRX851989 LBR851989:LBT851989 LLN851989:LLP851989 LVJ851989:LVL851989 MFF851989:MFH851989 MPB851989:MPD851989 MYX851989:MYZ851989 NIT851989:NIV851989 NSP851989:NSR851989 OCL851989:OCN851989 OMH851989:OMJ851989 OWD851989:OWF851989 PFZ851989:PGB851989 PPV851989:PPX851989 PZR851989:PZT851989 QJN851989:QJP851989 QTJ851989:QTL851989 RDF851989:RDH851989 RNB851989:RND851989 RWX851989:RWZ851989 SGT851989:SGV851989 SQP851989:SQR851989 TAL851989:TAN851989 TKH851989:TKJ851989 TUD851989:TUF851989 UDZ851989:UEB851989 UNV851989:UNX851989 UXR851989:UXT851989 VHN851989:VHP851989 VRJ851989:VRL851989 WBF851989:WBH851989 WLB851989:WLD851989 WUX851989:WUZ851989 D917525:F917525 IL917525:IN917525 SH917525:SJ917525 ACD917525:ACF917525 ALZ917525:AMB917525 AVV917525:AVX917525 BFR917525:BFT917525 BPN917525:BPP917525 BZJ917525:BZL917525 CJF917525:CJH917525 CTB917525:CTD917525 DCX917525:DCZ917525 DMT917525:DMV917525 DWP917525:DWR917525 EGL917525:EGN917525 EQH917525:EQJ917525 FAD917525:FAF917525 FJZ917525:FKB917525 FTV917525:FTX917525 GDR917525:GDT917525 GNN917525:GNP917525 GXJ917525:GXL917525 HHF917525:HHH917525 HRB917525:HRD917525 IAX917525:IAZ917525 IKT917525:IKV917525 IUP917525:IUR917525 JEL917525:JEN917525 JOH917525:JOJ917525 JYD917525:JYF917525 KHZ917525:KIB917525 KRV917525:KRX917525 LBR917525:LBT917525 LLN917525:LLP917525 LVJ917525:LVL917525 MFF917525:MFH917525 MPB917525:MPD917525 MYX917525:MYZ917525 NIT917525:NIV917525 NSP917525:NSR917525 OCL917525:OCN917525 OMH917525:OMJ917525 OWD917525:OWF917525 PFZ917525:PGB917525 PPV917525:PPX917525 PZR917525:PZT917525 QJN917525:QJP917525 QTJ917525:QTL917525 RDF917525:RDH917525 RNB917525:RND917525 RWX917525:RWZ917525 SGT917525:SGV917525 SQP917525:SQR917525 TAL917525:TAN917525 TKH917525:TKJ917525 TUD917525:TUF917525 UDZ917525:UEB917525 UNV917525:UNX917525 UXR917525:UXT917525 VHN917525:VHP917525 VRJ917525:VRL917525 WBF917525:WBH917525 WLB917525:WLD917525 WUX917525:WUZ917525 D983061:F983061 IL983061:IN983061 SH983061:SJ983061 ACD983061:ACF983061 ALZ983061:AMB983061 AVV983061:AVX983061 BFR983061:BFT983061 BPN983061:BPP983061 BZJ983061:BZL983061 CJF983061:CJH983061 CTB983061:CTD983061 DCX983061:DCZ983061 DMT983061:DMV983061 DWP983061:DWR983061 EGL983061:EGN983061 EQH983061:EQJ983061 FAD983061:FAF983061 FJZ983061:FKB983061 FTV983061:FTX983061 GDR983061:GDT983061 GNN983061:GNP983061 GXJ983061:GXL983061 HHF983061:HHH983061 HRB983061:HRD983061 IAX983061:IAZ983061 IKT983061:IKV983061 IUP983061:IUR983061 JEL983061:JEN983061 JOH983061:JOJ983061 JYD983061:JYF983061 KHZ983061:KIB983061 KRV983061:KRX983061 LBR983061:LBT983061 LLN983061:LLP983061 LVJ983061:LVL983061 MFF983061:MFH983061 MPB983061:MPD983061 MYX983061:MYZ983061 NIT983061:NIV983061 NSP983061:NSR983061 OCL983061:OCN983061 OMH983061:OMJ983061 OWD983061:OWF983061 PFZ983061:PGB983061 PPV983061:PPX983061 PZR983061:PZT983061 QJN983061:QJP983061 QTJ983061:QTL983061 RDF983061:RDH983061 RNB983061:RND983061 RWX983061:RWZ983061 SGT983061:SGV983061 SQP983061:SQR983061 TAL983061:TAN983061 TKH983061:TKJ983061 TUD983061:TUF983061 UDZ983061:UEB983061 UNV983061:UNX983061 UXR983061:UXT983061 VHN983061:VHP983061 VRJ983061:VRL983061 WBF983061:WBH983061 WLB983061:WLD983061" xr:uid="{84B55B4D-8D11-4816-A312-DC9E0C081349}">
      <formula1>"PIG, VEAL, BEEF, LAMB, POULTRY"</formula1>
    </dataValidation>
    <dataValidation type="list" allowBlank="1" showInputMessage="1" showErrorMessage="1" sqref="D3:F3" xr:uid="{481CF71D-21A1-4951-8BCA-B40B3422CA10}">
      <formula1>"Layer"</formula1>
    </dataValidation>
    <dataValidation type="decimal" operator="greaterThanOrEqual" allowBlank="1" showInputMessage="1" showErrorMessage="1" error="Only numbers" sqref="D6:F10 C16:D17 C18 F19 B25:C26 E27 C36:D36 C37 F38 B44:C45 E46 F56 C59" xr:uid="{334319C8-65C2-4661-93C1-9FE2D6B86B47}">
      <formula1>0</formula1>
    </dataValidation>
  </dataValidations>
  <hyperlinks>
    <hyperlink ref="D68" location="'Revenue Streams'!A1" display="Back Revenue Streams" xr:uid="{6EBC7F14-123C-4E3E-9D82-08BB9C29D8FB}"/>
  </hyperlinks>
  <pageMargins left="0.75" right="0.75" top="1" bottom="1" header="0.5" footer="0.5"/>
  <pageSetup scale="44" orientation="landscape" horizontalDpi="300" verticalDpi="300" r:id="rId1"/>
  <headerFooter alignWithMargins="0"/>
  <rowBreaks count="1" manualBreakCount="1">
    <brk id="4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9128A-1BC7-4BB1-9566-D3BFC0B3FE56}">
  <sheetPr codeName="Sheet18">
    <pageSetUpPr fitToPage="1"/>
  </sheetPr>
  <dimension ref="A1:Q68"/>
  <sheetViews>
    <sheetView showGridLines="0" topLeftCell="A3" zoomScaleNormal="100" workbookViewId="0">
      <selection activeCell="G68" sqref="G68"/>
    </sheetView>
  </sheetViews>
  <sheetFormatPr defaultColWidth="9" defaultRowHeight="14.25"/>
  <cols>
    <col min="1" max="1" width="23.375" style="314" customWidth="1"/>
    <col min="2" max="2" width="10.5" style="314" customWidth="1"/>
    <col min="3" max="3" width="12.875" style="314" customWidth="1"/>
    <col min="4" max="4" width="10.875" style="314" customWidth="1"/>
    <col min="5" max="5" width="13.375" style="314" customWidth="1"/>
    <col min="6" max="6" width="0.625" style="314" customWidth="1"/>
    <col min="7" max="7" width="23.375" style="314" customWidth="1"/>
    <col min="8" max="8" width="10.5" style="314" customWidth="1"/>
    <col min="9" max="9" width="12.875" style="314" customWidth="1"/>
    <col min="10" max="10" width="10.875" style="314" customWidth="1"/>
    <col min="11" max="11" width="13.375" style="314" customWidth="1"/>
    <col min="12" max="12" width="0.625" style="314" customWidth="1"/>
    <col min="13" max="13" width="23.375" style="314" customWidth="1"/>
    <col min="14" max="14" width="10.5" style="314" customWidth="1"/>
    <col min="15" max="15" width="12.875" style="314" customWidth="1"/>
    <col min="16" max="16" width="10.875" style="314" customWidth="1"/>
    <col min="17" max="17" width="13.375" style="314" customWidth="1"/>
    <col min="18" max="18" width="2.125" style="314" customWidth="1"/>
    <col min="19" max="16384" width="9" style="314"/>
  </cols>
  <sheetData>
    <row r="1" spans="1:17" ht="20.25">
      <c r="A1" s="302" t="s">
        <v>265</v>
      </c>
    </row>
    <row r="3" spans="1:17" ht="15">
      <c r="A3" s="315" t="s">
        <v>266</v>
      </c>
      <c r="B3" s="689"/>
      <c r="C3" s="689"/>
      <c r="D3" s="689"/>
      <c r="F3" s="316"/>
      <c r="G3" s="315" t="s">
        <v>266</v>
      </c>
      <c r="H3" s="689"/>
      <c r="I3" s="689"/>
      <c r="J3" s="689"/>
      <c r="L3" s="316"/>
      <c r="M3" s="315" t="s">
        <v>266</v>
      </c>
      <c r="N3" s="689"/>
      <c r="O3" s="689"/>
      <c r="P3" s="689"/>
    </row>
    <row r="4" spans="1:17">
      <c r="F4" s="316"/>
      <c r="L4" s="316"/>
    </row>
    <row r="5" spans="1:17" ht="15.75">
      <c r="A5" s="317" t="s">
        <v>230</v>
      </c>
      <c r="B5" s="318"/>
      <c r="C5" s="318"/>
      <c r="D5" s="318"/>
      <c r="E5" s="318"/>
      <c r="F5" s="316"/>
      <c r="G5" s="317" t="s">
        <v>230</v>
      </c>
      <c r="H5" s="318"/>
      <c r="I5" s="318"/>
      <c r="J5" s="318"/>
      <c r="K5" s="318"/>
      <c r="L5" s="316"/>
      <c r="M5" s="317" t="s">
        <v>230</v>
      </c>
      <c r="N5" s="318"/>
      <c r="O5" s="318"/>
      <c r="P5" s="318"/>
      <c r="Q5" s="318"/>
    </row>
    <row r="6" spans="1:17" ht="15.75">
      <c r="A6" s="319" t="s">
        <v>267</v>
      </c>
      <c r="B6" s="320">
        <v>0</v>
      </c>
      <c r="C6" s="318"/>
      <c r="D6" s="318"/>
      <c r="E6" s="318"/>
      <c r="F6" s="316"/>
      <c r="G6" s="319" t="s">
        <v>267</v>
      </c>
      <c r="H6" s="320">
        <v>0</v>
      </c>
      <c r="I6" s="318"/>
      <c r="J6" s="318"/>
      <c r="K6" s="318"/>
      <c r="L6" s="316"/>
      <c r="M6" s="319" t="s">
        <v>267</v>
      </c>
      <c r="N6" s="320">
        <v>0</v>
      </c>
      <c r="O6" s="318"/>
      <c r="P6" s="318"/>
      <c r="Q6" s="318"/>
    </row>
    <row r="7" spans="1:17" s="326" customFormat="1" ht="28.5">
      <c r="A7" s="321" t="s">
        <v>268</v>
      </c>
      <c r="B7" s="322">
        <v>0</v>
      </c>
      <c r="C7" s="323" t="s">
        <v>269</v>
      </c>
      <c r="D7" s="322">
        <v>0</v>
      </c>
      <c r="E7" s="324"/>
      <c r="F7" s="325"/>
      <c r="G7" s="321" t="s">
        <v>268</v>
      </c>
      <c r="H7" s="322">
        <v>0</v>
      </c>
      <c r="I7" s="323" t="s">
        <v>269</v>
      </c>
      <c r="J7" s="322">
        <v>0</v>
      </c>
      <c r="K7" s="324"/>
      <c r="L7" s="325"/>
      <c r="M7" s="321" t="s">
        <v>268</v>
      </c>
      <c r="N7" s="322">
        <v>0</v>
      </c>
      <c r="O7" s="323" t="s">
        <v>269</v>
      </c>
      <c r="P7" s="322">
        <v>0</v>
      </c>
      <c r="Q7" s="324"/>
    </row>
    <row r="8" spans="1:17" ht="15">
      <c r="A8" s="314" t="s">
        <v>270</v>
      </c>
      <c r="D8" s="327">
        <v>50</v>
      </c>
      <c r="F8" s="316"/>
      <c r="G8" s="314" t="s">
        <v>270</v>
      </c>
      <c r="J8" s="327">
        <v>50</v>
      </c>
      <c r="L8" s="316"/>
      <c r="M8" s="314" t="s">
        <v>270</v>
      </c>
      <c r="P8" s="327">
        <v>50</v>
      </c>
    </row>
    <row r="9" spans="1:17" ht="15">
      <c r="A9" s="314" t="s">
        <v>271</v>
      </c>
      <c r="D9" s="328">
        <f>B6*B7*D7</f>
        <v>0</v>
      </c>
      <c r="F9" s="316"/>
      <c r="G9" s="314" t="s">
        <v>271</v>
      </c>
      <c r="J9" s="328">
        <f>H6*H7*J7</f>
        <v>0</v>
      </c>
      <c r="L9" s="316"/>
      <c r="M9" s="314" t="s">
        <v>271</v>
      </c>
      <c r="P9" s="328">
        <f>N6*N7*P7</f>
        <v>0</v>
      </c>
    </row>
    <row r="10" spans="1:17" ht="15">
      <c r="A10" s="329" t="s">
        <v>272</v>
      </c>
      <c r="B10" s="330">
        <v>0.1</v>
      </c>
      <c r="D10" s="328">
        <f>D9*(100%-B10)</f>
        <v>0</v>
      </c>
      <c r="F10" s="316"/>
      <c r="G10" s="329" t="s">
        <v>272</v>
      </c>
      <c r="H10" s="330">
        <v>0.1</v>
      </c>
      <c r="J10" s="328">
        <f>J9*(100%-H10)</f>
        <v>0</v>
      </c>
      <c r="L10" s="316"/>
      <c r="M10" s="329" t="s">
        <v>272</v>
      </c>
      <c r="N10" s="330">
        <v>0.1</v>
      </c>
      <c r="P10" s="328">
        <f>P9*(100%-N10)</f>
        <v>0</v>
      </c>
    </row>
    <row r="11" spans="1:17">
      <c r="F11" s="316"/>
      <c r="L11" s="316"/>
    </row>
    <row r="12" spans="1:17" ht="18">
      <c r="A12" s="690">
        <f>B3</f>
        <v>0</v>
      </c>
      <c r="B12" s="690"/>
      <c r="C12" s="690"/>
      <c r="D12" s="690"/>
      <c r="E12" s="690"/>
      <c r="F12" s="316"/>
      <c r="G12" s="690">
        <f>H3</f>
        <v>0</v>
      </c>
      <c r="H12" s="690"/>
      <c r="I12" s="690"/>
      <c r="J12" s="690"/>
      <c r="K12" s="690"/>
      <c r="L12" s="316"/>
      <c r="M12" s="690">
        <f>N3</f>
        <v>0</v>
      </c>
      <c r="N12" s="690"/>
      <c r="O12" s="690"/>
      <c r="P12" s="690"/>
      <c r="Q12" s="690"/>
    </row>
    <row r="13" spans="1:17" ht="45">
      <c r="A13" s="331" t="s">
        <v>273</v>
      </c>
      <c r="B13" s="331" t="s">
        <v>274</v>
      </c>
      <c r="C13" s="331" t="s">
        <v>275</v>
      </c>
      <c r="D13" s="332" t="s">
        <v>276</v>
      </c>
      <c r="E13" s="331" t="s">
        <v>277</v>
      </c>
      <c r="F13" s="316"/>
      <c r="G13" s="331" t="s">
        <v>273</v>
      </c>
      <c r="H13" s="331" t="s">
        <v>274</v>
      </c>
      <c r="I13" s="331" t="s">
        <v>275</v>
      </c>
      <c r="J13" s="332" t="s">
        <v>276</v>
      </c>
      <c r="K13" s="331" t="s">
        <v>277</v>
      </c>
      <c r="L13" s="316"/>
      <c r="M13" s="331" t="s">
        <v>273</v>
      </c>
      <c r="N13" s="331" t="s">
        <v>274</v>
      </c>
      <c r="O13" s="331" t="s">
        <v>275</v>
      </c>
      <c r="P13" s="332" t="s">
        <v>276</v>
      </c>
      <c r="Q13" s="331" t="s">
        <v>277</v>
      </c>
    </row>
    <row r="14" spans="1:17" ht="15.75">
      <c r="A14" s="317" t="s">
        <v>278</v>
      </c>
      <c r="B14" s="318"/>
      <c r="C14" s="318"/>
      <c r="D14" s="318"/>
      <c r="E14" s="318"/>
      <c r="F14" s="316"/>
      <c r="G14" s="317" t="s">
        <v>278</v>
      </c>
      <c r="H14" s="318"/>
      <c r="I14" s="318"/>
      <c r="J14" s="318"/>
      <c r="K14" s="318"/>
      <c r="L14" s="316"/>
      <c r="M14" s="317" t="s">
        <v>278</v>
      </c>
      <c r="N14" s="318"/>
      <c r="O14" s="318"/>
      <c r="P14" s="318"/>
      <c r="Q14" s="318"/>
    </row>
    <row r="15" spans="1:17" ht="15.75" thickBot="1">
      <c r="A15" s="333" t="s">
        <v>279</v>
      </c>
      <c r="B15" s="333">
        <v>0</v>
      </c>
      <c r="C15" s="334">
        <v>0</v>
      </c>
      <c r="D15" s="335">
        <v>0</v>
      </c>
      <c r="E15" s="336">
        <f>IF(ISERR(B15*C15/D15),0,B15*C15/D15)</f>
        <v>0</v>
      </c>
      <c r="F15" s="316"/>
      <c r="G15" s="333" t="s">
        <v>279</v>
      </c>
      <c r="H15" s="333">
        <v>0</v>
      </c>
      <c r="I15" s="334">
        <v>0</v>
      </c>
      <c r="J15" s="335">
        <v>0</v>
      </c>
      <c r="K15" s="336">
        <f>IF(ISERR(H15*I15/J15),0,H15*I15/J15)</f>
        <v>0</v>
      </c>
      <c r="L15" s="316"/>
      <c r="M15" s="333" t="s">
        <v>279</v>
      </c>
      <c r="N15" s="333">
        <v>0</v>
      </c>
      <c r="O15" s="334">
        <v>0</v>
      </c>
      <c r="P15" s="335">
        <v>0</v>
      </c>
      <c r="Q15" s="336">
        <f>IF(ISERR(N15*O15/P15),0,N15*O15/P15)</f>
        <v>0</v>
      </c>
    </row>
    <row r="16" spans="1:17" ht="15.75" thickBot="1">
      <c r="A16" s="337" t="s">
        <v>280</v>
      </c>
      <c r="B16" s="338"/>
      <c r="C16" s="339"/>
      <c r="D16" s="340"/>
      <c r="E16" s="340">
        <f>E15</f>
        <v>0</v>
      </c>
      <c r="F16" s="316"/>
      <c r="G16" s="337" t="s">
        <v>280</v>
      </c>
      <c r="H16" s="338"/>
      <c r="I16" s="339"/>
      <c r="J16" s="340"/>
      <c r="K16" s="340">
        <f>K15</f>
        <v>0</v>
      </c>
      <c r="L16" s="316"/>
      <c r="M16" s="337" t="s">
        <v>280</v>
      </c>
      <c r="N16" s="338"/>
      <c r="O16" s="339"/>
      <c r="P16" s="340"/>
      <c r="Q16" s="340">
        <f>Q15</f>
        <v>0</v>
      </c>
    </row>
    <row r="17" spans="1:17" ht="15">
      <c r="A17" s="329"/>
      <c r="B17" s="318"/>
      <c r="D17" s="341"/>
      <c r="E17" s="341"/>
      <c r="F17" s="316"/>
      <c r="G17" s="329"/>
      <c r="H17" s="318"/>
      <c r="J17" s="341"/>
      <c r="K17" s="341"/>
      <c r="L17" s="316"/>
      <c r="M17" s="329"/>
      <c r="N17" s="318"/>
      <c r="P17" s="341"/>
      <c r="Q17" s="341"/>
    </row>
    <row r="18" spans="1:17" ht="15">
      <c r="A18" s="342" t="s">
        <v>273</v>
      </c>
      <c r="B18" s="342" t="s">
        <v>274</v>
      </c>
      <c r="C18" s="342" t="s">
        <v>281</v>
      </c>
      <c r="D18" s="342" t="s">
        <v>275</v>
      </c>
      <c r="E18" s="342" t="s">
        <v>277</v>
      </c>
      <c r="F18" s="316"/>
      <c r="G18" s="342" t="s">
        <v>273</v>
      </c>
      <c r="H18" s="342" t="s">
        <v>274</v>
      </c>
      <c r="I18" s="342" t="s">
        <v>281</v>
      </c>
      <c r="J18" s="342" t="s">
        <v>275</v>
      </c>
      <c r="K18" s="342" t="s">
        <v>277</v>
      </c>
      <c r="L18" s="316"/>
      <c r="M18" s="342" t="s">
        <v>273</v>
      </c>
      <c r="N18" s="342" t="s">
        <v>274</v>
      </c>
      <c r="O18" s="342" t="s">
        <v>281</v>
      </c>
      <c r="P18" s="342" t="s">
        <v>275</v>
      </c>
      <c r="Q18" s="342" t="s">
        <v>277</v>
      </c>
    </row>
    <row r="19" spans="1:17" ht="15.75">
      <c r="A19" s="317" t="s">
        <v>243</v>
      </c>
      <c r="E19" s="341"/>
      <c r="F19" s="316"/>
      <c r="G19" s="317" t="s">
        <v>243</v>
      </c>
      <c r="K19" s="341"/>
      <c r="L19" s="316"/>
      <c r="M19" s="317" t="s">
        <v>243</v>
      </c>
      <c r="Q19" s="341"/>
    </row>
    <row r="20" spans="1:17">
      <c r="A20" s="314" t="s">
        <v>282</v>
      </c>
      <c r="B20" s="314" t="s">
        <v>283</v>
      </c>
      <c r="C20" s="343">
        <v>0</v>
      </c>
      <c r="D20" s="341">
        <f>$D$8</f>
        <v>50</v>
      </c>
      <c r="E20" s="341">
        <f t="shared" ref="E20:E26" si="0">C20*D20</f>
        <v>0</v>
      </c>
      <c r="F20" s="316"/>
      <c r="G20" s="314" t="s">
        <v>282</v>
      </c>
      <c r="H20" s="314" t="s">
        <v>283</v>
      </c>
      <c r="I20" s="343">
        <v>0</v>
      </c>
      <c r="J20" s="341">
        <f>$D$8</f>
        <v>50</v>
      </c>
      <c r="K20" s="341">
        <f t="shared" ref="K20:K26" si="1">I20*J20</f>
        <v>0</v>
      </c>
      <c r="L20" s="316"/>
      <c r="M20" s="314" t="s">
        <v>282</v>
      </c>
      <c r="N20" s="314" t="s">
        <v>283</v>
      </c>
      <c r="O20" s="343">
        <v>0</v>
      </c>
      <c r="P20" s="341">
        <f>$D$8</f>
        <v>50</v>
      </c>
      <c r="Q20" s="341">
        <f t="shared" ref="Q20:Q26" si="2">O20*P20</f>
        <v>0</v>
      </c>
    </row>
    <row r="21" spans="1:17">
      <c r="A21" s="314" t="s">
        <v>284</v>
      </c>
      <c r="B21" s="314" t="s">
        <v>283</v>
      </c>
      <c r="C21" s="343">
        <v>0</v>
      </c>
      <c r="D21" s="341">
        <f t="shared" ref="D21:D26" si="3">$D$8</f>
        <v>50</v>
      </c>
      <c r="E21" s="341">
        <f t="shared" si="0"/>
        <v>0</v>
      </c>
      <c r="F21" s="316"/>
      <c r="G21" s="314" t="s">
        <v>284</v>
      </c>
      <c r="H21" s="314" t="s">
        <v>283</v>
      </c>
      <c r="I21" s="343">
        <v>0</v>
      </c>
      <c r="J21" s="341">
        <f t="shared" ref="J21:J26" si="4">$D$8</f>
        <v>50</v>
      </c>
      <c r="K21" s="341">
        <f t="shared" si="1"/>
        <v>0</v>
      </c>
      <c r="L21" s="316"/>
      <c r="M21" s="314" t="s">
        <v>284</v>
      </c>
      <c r="N21" s="314" t="s">
        <v>283</v>
      </c>
      <c r="O21" s="343">
        <v>0</v>
      </c>
      <c r="P21" s="341">
        <f t="shared" ref="P21:P26" si="5">$D$8</f>
        <v>50</v>
      </c>
      <c r="Q21" s="341">
        <f t="shared" si="2"/>
        <v>0</v>
      </c>
    </row>
    <row r="22" spans="1:17">
      <c r="A22" s="314" t="s">
        <v>285</v>
      </c>
      <c r="B22" s="314" t="s">
        <v>283</v>
      </c>
      <c r="C22" s="343">
        <v>0</v>
      </c>
      <c r="D22" s="341">
        <f t="shared" si="3"/>
        <v>50</v>
      </c>
      <c r="E22" s="341">
        <f t="shared" si="0"/>
        <v>0</v>
      </c>
      <c r="F22" s="316"/>
      <c r="G22" s="314" t="s">
        <v>285</v>
      </c>
      <c r="H22" s="314" t="s">
        <v>283</v>
      </c>
      <c r="I22" s="343">
        <v>0</v>
      </c>
      <c r="J22" s="341">
        <f t="shared" si="4"/>
        <v>50</v>
      </c>
      <c r="K22" s="341">
        <f t="shared" si="1"/>
        <v>0</v>
      </c>
      <c r="L22" s="316"/>
      <c r="M22" s="314" t="s">
        <v>285</v>
      </c>
      <c r="N22" s="314" t="s">
        <v>283</v>
      </c>
      <c r="O22" s="343">
        <v>0</v>
      </c>
      <c r="P22" s="341">
        <f t="shared" si="5"/>
        <v>50</v>
      </c>
      <c r="Q22" s="341">
        <f t="shared" si="2"/>
        <v>0</v>
      </c>
    </row>
    <row r="23" spans="1:17">
      <c r="A23" s="314" t="s">
        <v>286</v>
      </c>
      <c r="B23" s="314" t="s">
        <v>283</v>
      </c>
      <c r="C23" s="343">
        <v>0</v>
      </c>
      <c r="D23" s="341">
        <f t="shared" si="3"/>
        <v>50</v>
      </c>
      <c r="E23" s="341">
        <f t="shared" si="0"/>
        <v>0</v>
      </c>
      <c r="F23" s="316"/>
      <c r="G23" s="314" t="s">
        <v>286</v>
      </c>
      <c r="H23" s="314" t="s">
        <v>283</v>
      </c>
      <c r="I23" s="343">
        <v>0</v>
      </c>
      <c r="J23" s="341">
        <f t="shared" si="4"/>
        <v>50</v>
      </c>
      <c r="K23" s="341">
        <f t="shared" si="1"/>
        <v>0</v>
      </c>
      <c r="L23" s="316"/>
      <c r="M23" s="314" t="s">
        <v>286</v>
      </c>
      <c r="N23" s="314" t="s">
        <v>283</v>
      </c>
      <c r="O23" s="343">
        <v>0</v>
      </c>
      <c r="P23" s="341">
        <f t="shared" si="5"/>
        <v>50</v>
      </c>
      <c r="Q23" s="341">
        <f t="shared" si="2"/>
        <v>0</v>
      </c>
    </row>
    <row r="24" spans="1:17">
      <c r="A24" s="314" t="s">
        <v>287</v>
      </c>
      <c r="B24" s="314" t="s">
        <v>283</v>
      </c>
      <c r="C24" s="343">
        <v>0</v>
      </c>
      <c r="D24" s="341">
        <f t="shared" si="3"/>
        <v>50</v>
      </c>
      <c r="E24" s="341">
        <f t="shared" si="0"/>
        <v>0</v>
      </c>
      <c r="F24" s="316"/>
      <c r="G24" s="314" t="s">
        <v>287</v>
      </c>
      <c r="H24" s="314" t="s">
        <v>283</v>
      </c>
      <c r="I24" s="343">
        <v>0</v>
      </c>
      <c r="J24" s="341">
        <f t="shared" si="4"/>
        <v>50</v>
      </c>
      <c r="K24" s="341">
        <f t="shared" si="1"/>
        <v>0</v>
      </c>
      <c r="L24" s="316"/>
      <c r="M24" s="314" t="s">
        <v>287</v>
      </c>
      <c r="N24" s="314" t="s">
        <v>283</v>
      </c>
      <c r="O24" s="343">
        <v>0</v>
      </c>
      <c r="P24" s="341">
        <f t="shared" si="5"/>
        <v>50</v>
      </c>
      <c r="Q24" s="341">
        <f t="shared" si="2"/>
        <v>0</v>
      </c>
    </row>
    <row r="25" spans="1:17">
      <c r="A25" s="314" t="s">
        <v>288</v>
      </c>
      <c r="B25" s="314" t="s">
        <v>283</v>
      </c>
      <c r="C25" s="343">
        <v>0</v>
      </c>
      <c r="D25" s="341">
        <f t="shared" si="3"/>
        <v>50</v>
      </c>
      <c r="E25" s="341">
        <f t="shared" si="0"/>
        <v>0</v>
      </c>
      <c r="F25" s="316"/>
      <c r="G25" s="314" t="s">
        <v>288</v>
      </c>
      <c r="H25" s="314" t="s">
        <v>283</v>
      </c>
      <c r="I25" s="343">
        <v>0</v>
      </c>
      <c r="J25" s="341">
        <f t="shared" si="4"/>
        <v>50</v>
      </c>
      <c r="K25" s="341">
        <f t="shared" si="1"/>
        <v>0</v>
      </c>
      <c r="L25" s="316"/>
      <c r="M25" s="314" t="s">
        <v>288</v>
      </c>
      <c r="N25" s="314" t="s">
        <v>283</v>
      </c>
      <c r="O25" s="343">
        <v>0</v>
      </c>
      <c r="P25" s="341">
        <f t="shared" si="5"/>
        <v>50</v>
      </c>
      <c r="Q25" s="341">
        <f t="shared" si="2"/>
        <v>0</v>
      </c>
    </row>
    <row r="26" spans="1:17" ht="15" thickBot="1">
      <c r="A26" s="314" t="s">
        <v>289</v>
      </c>
      <c r="B26" s="314" t="s">
        <v>283</v>
      </c>
      <c r="C26" s="343">
        <v>0</v>
      </c>
      <c r="D26" s="341">
        <f t="shared" si="3"/>
        <v>50</v>
      </c>
      <c r="E26" s="341">
        <f t="shared" si="0"/>
        <v>0</v>
      </c>
      <c r="F26" s="316"/>
      <c r="G26" s="314" t="s">
        <v>289</v>
      </c>
      <c r="H26" s="314" t="s">
        <v>283</v>
      </c>
      <c r="I26" s="343">
        <v>0</v>
      </c>
      <c r="J26" s="341">
        <f t="shared" si="4"/>
        <v>50</v>
      </c>
      <c r="K26" s="341">
        <f t="shared" si="1"/>
        <v>0</v>
      </c>
      <c r="L26" s="316"/>
      <c r="M26" s="314" t="s">
        <v>289</v>
      </c>
      <c r="N26" s="314" t="s">
        <v>283</v>
      </c>
      <c r="O26" s="343">
        <v>0</v>
      </c>
      <c r="P26" s="341">
        <f t="shared" si="5"/>
        <v>50</v>
      </c>
      <c r="Q26" s="341">
        <f t="shared" si="2"/>
        <v>0</v>
      </c>
    </row>
    <row r="27" spans="1:17" ht="15.75" thickBot="1">
      <c r="A27" s="344" t="s">
        <v>280</v>
      </c>
      <c r="B27" s="345"/>
      <c r="C27" s="345"/>
      <c r="D27" s="346"/>
      <c r="E27" s="347">
        <f>SUM(E20:E26)</f>
        <v>0</v>
      </c>
      <c r="F27" s="316"/>
      <c r="G27" s="344" t="s">
        <v>280</v>
      </c>
      <c r="H27" s="345"/>
      <c r="I27" s="345"/>
      <c r="J27" s="346"/>
      <c r="K27" s="347">
        <f>SUM(K20:K26)</f>
        <v>0</v>
      </c>
      <c r="L27" s="316"/>
      <c r="M27" s="344" t="s">
        <v>280</v>
      </c>
      <c r="N27" s="345"/>
      <c r="O27" s="345"/>
      <c r="P27" s="346"/>
      <c r="Q27" s="347">
        <f>SUM(Q20:Q26)</f>
        <v>0</v>
      </c>
    </row>
    <row r="28" spans="1:17">
      <c r="F28" s="316"/>
      <c r="L28" s="316"/>
    </row>
    <row r="29" spans="1:17" ht="15.75">
      <c r="A29" s="317" t="s">
        <v>234</v>
      </c>
      <c r="F29" s="316"/>
      <c r="G29" s="317" t="s">
        <v>234</v>
      </c>
      <c r="L29" s="316"/>
      <c r="M29" s="317" t="s">
        <v>234</v>
      </c>
    </row>
    <row r="30" spans="1:17">
      <c r="A30" s="314" t="s">
        <v>290</v>
      </c>
      <c r="C30" s="314">
        <f>B6*D7</f>
        <v>0</v>
      </c>
      <c r="D30" s="348">
        <v>0</v>
      </c>
      <c r="E30" s="341">
        <f t="shared" ref="E30:E39" si="6">C30*D30</f>
        <v>0</v>
      </c>
      <c r="F30" s="316"/>
      <c r="G30" s="314" t="s">
        <v>290</v>
      </c>
      <c r="I30" s="314">
        <f>H6*J7</f>
        <v>0</v>
      </c>
      <c r="J30" s="348">
        <v>0</v>
      </c>
      <c r="K30" s="341">
        <f t="shared" ref="K30:K39" si="7">I30*J30</f>
        <v>0</v>
      </c>
      <c r="L30" s="316"/>
      <c r="M30" s="314" t="s">
        <v>290</v>
      </c>
      <c r="O30" s="314">
        <f>N6*P7</f>
        <v>0</v>
      </c>
      <c r="P30" s="348">
        <v>0</v>
      </c>
      <c r="Q30" s="341">
        <f t="shared" ref="Q30:Q39" si="8">O30*P30</f>
        <v>0</v>
      </c>
    </row>
    <row r="31" spans="1:17">
      <c r="A31" s="343" t="s">
        <v>291</v>
      </c>
      <c r="B31" s="343" t="s">
        <v>292</v>
      </c>
      <c r="C31" s="343">
        <v>0</v>
      </c>
      <c r="D31" s="348">
        <v>0</v>
      </c>
      <c r="E31" s="341">
        <f t="shared" si="6"/>
        <v>0</v>
      </c>
      <c r="F31" s="316"/>
      <c r="G31" s="343" t="s">
        <v>291</v>
      </c>
      <c r="H31" s="343" t="s">
        <v>292</v>
      </c>
      <c r="I31" s="343">
        <v>0</v>
      </c>
      <c r="J31" s="348">
        <v>0</v>
      </c>
      <c r="K31" s="341">
        <f t="shared" si="7"/>
        <v>0</v>
      </c>
      <c r="L31" s="316"/>
      <c r="M31" s="343" t="s">
        <v>291</v>
      </c>
      <c r="N31" s="343" t="s">
        <v>292</v>
      </c>
      <c r="O31" s="343">
        <v>0</v>
      </c>
      <c r="P31" s="348">
        <v>0</v>
      </c>
      <c r="Q31" s="341">
        <f t="shared" si="8"/>
        <v>0</v>
      </c>
    </row>
    <row r="32" spans="1:17">
      <c r="A32" s="343" t="s">
        <v>293</v>
      </c>
      <c r="B32" s="343" t="s">
        <v>294</v>
      </c>
      <c r="C32" s="343">
        <v>0</v>
      </c>
      <c r="D32" s="348">
        <v>0</v>
      </c>
      <c r="E32" s="341">
        <f t="shared" si="6"/>
        <v>0</v>
      </c>
      <c r="F32" s="316"/>
      <c r="G32" s="343" t="s">
        <v>293</v>
      </c>
      <c r="H32" s="343" t="s">
        <v>294</v>
      </c>
      <c r="I32" s="343">
        <v>0</v>
      </c>
      <c r="J32" s="348">
        <v>0</v>
      </c>
      <c r="K32" s="341">
        <f t="shared" si="7"/>
        <v>0</v>
      </c>
      <c r="L32" s="316"/>
      <c r="M32" s="343" t="s">
        <v>293</v>
      </c>
      <c r="N32" s="343" t="s">
        <v>294</v>
      </c>
      <c r="O32" s="343">
        <v>0</v>
      </c>
      <c r="P32" s="348">
        <v>0</v>
      </c>
      <c r="Q32" s="341">
        <f t="shared" si="8"/>
        <v>0</v>
      </c>
    </row>
    <row r="33" spans="1:17">
      <c r="A33" s="343" t="s">
        <v>295</v>
      </c>
      <c r="B33" s="343" t="s">
        <v>296</v>
      </c>
      <c r="C33" s="343">
        <v>0</v>
      </c>
      <c r="D33" s="348">
        <v>0</v>
      </c>
      <c r="E33" s="341">
        <f t="shared" si="6"/>
        <v>0</v>
      </c>
      <c r="F33" s="316"/>
      <c r="G33" s="343" t="s">
        <v>295</v>
      </c>
      <c r="H33" s="343" t="s">
        <v>296</v>
      </c>
      <c r="I33" s="343">
        <v>0</v>
      </c>
      <c r="J33" s="348">
        <v>0</v>
      </c>
      <c r="K33" s="341">
        <f t="shared" si="7"/>
        <v>0</v>
      </c>
      <c r="L33" s="316"/>
      <c r="M33" s="343" t="s">
        <v>295</v>
      </c>
      <c r="N33" s="343" t="s">
        <v>296</v>
      </c>
      <c r="O33" s="343">
        <v>0</v>
      </c>
      <c r="P33" s="348">
        <v>0</v>
      </c>
      <c r="Q33" s="341">
        <f t="shared" si="8"/>
        <v>0</v>
      </c>
    </row>
    <row r="34" spans="1:17">
      <c r="A34" s="343" t="s">
        <v>297</v>
      </c>
      <c r="B34" s="343" t="s">
        <v>296</v>
      </c>
      <c r="C34" s="343">
        <v>0</v>
      </c>
      <c r="D34" s="348">
        <v>0</v>
      </c>
      <c r="E34" s="341">
        <f t="shared" si="6"/>
        <v>0</v>
      </c>
      <c r="F34" s="316"/>
      <c r="G34" s="343" t="s">
        <v>297</v>
      </c>
      <c r="H34" s="343" t="s">
        <v>296</v>
      </c>
      <c r="I34" s="343">
        <v>0</v>
      </c>
      <c r="J34" s="348">
        <v>0</v>
      </c>
      <c r="K34" s="341">
        <f t="shared" si="7"/>
        <v>0</v>
      </c>
      <c r="L34" s="316"/>
      <c r="M34" s="343" t="s">
        <v>297</v>
      </c>
      <c r="N34" s="343" t="s">
        <v>296</v>
      </c>
      <c r="O34" s="343">
        <v>0</v>
      </c>
      <c r="P34" s="348">
        <v>0</v>
      </c>
      <c r="Q34" s="341">
        <f t="shared" si="8"/>
        <v>0</v>
      </c>
    </row>
    <row r="35" spans="1:17">
      <c r="A35" s="343" t="s">
        <v>298</v>
      </c>
      <c r="B35" s="343" t="s">
        <v>296</v>
      </c>
      <c r="C35" s="343">
        <v>0</v>
      </c>
      <c r="D35" s="348">
        <v>0</v>
      </c>
      <c r="E35" s="341">
        <f t="shared" si="6"/>
        <v>0</v>
      </c>
      <c r="F35" s="316"/>
      <c r="G35" s="343" t="s">
        <v>298</v>
      </c>
      <c r="H35" s="343" t="s">
        <v>296</v>
      </c>
      <c r="I35" s="343">
        <v>0</v>
      </c>
      <c r="J35" s="348">
        <v>0</v>
      </c>
      <c r="K35" s="341">
        <f t="shared" si="7"/>
        <v>0</v>
      </c>
      <c r="L35" s="316"/>
      <c r="M35" s="343" t="s">
        <v>298</v>
      </c>
      <c r="N35" s="343" t="s">
        <v>296</v>
      </c>
      <c r="O35" s="343">
        <v>0</v>
      </c>
      <c r="P35" s="348">
        <v>0</v>
      </c>
      <c r="Q35" s="341">
        <f t="shared" si="8"/>
        <v>0</v>
      </c>
    </row>
    <row r="36" spans="1:17">
      <c r="A36" s="343" t="s">
        <v>299</v>
      </c>
      <c r="B36" s="343" t="s">
        <v>296</v>
      </c>
      <c r="C36" s="343">
        <v>0</v>
      </c>
      <c r="D36" s="348">
        <v>0</v>
      </c>
      <c r="E36" s="341">
        <f t="shared" si="6"/>
        <v>0</v>
      </c>
      <c r="F36" s="316"/>
      <c r="G36" s="343" t="s">
        <v>299</v>
      </c>
      <c r="H36" s="343" t="s">
        <v>296</v>
      </c>
      <c r="I36" s="343">
        <v>0</v>
      </c>
      <c r="J36" s="348">
        <v>0</v>
      </c>
      <c r="K36" s="341">
        <f t="shared" si="7"/>
        <v>0</v>
      </c>
      <c r="L36" s="316"/>
      <c r="M36" s="343" t="s">
        <v>299</v>
      </c>
      <c r="N36" s="343" t="s">
        <v>296</v>
      </c>
      <c r="O36" s="343">
        <v>0</v>
      </c>
      <c r="P36" s="348">
        <v>0</v>
      </c>
      <c r="Q36" s="341">
        <f t="shared" si="8"/>
        <v>0</v>
      </c>
    </row>
    <row r="37" spans="1:17">
      <c r="A37" s="343" t="s">
        <v>300</v>
      </c>
      <c r="B37" s="343" t="s">
        <v>296</v>
      </c>
      <c r="C37" s="343">
        <v>0</v>
      </c>
      <c r="D37" s="348">
        <v>0</v>
      </c>
      <c r="E37" s="341">
        <f t="shared" si="6"/>
        <v>0</v>
      </c>
      <c r="F37" s="316"/>
      <c r="G37" s="343" t="s">
        <v>300</v>
      </c>
      <c r="H37" s="343" t="s">
        <v>296</v>
      </c>
      <c r="I37" s="343">
        <v>0</v>
      </c>
      <c r="J37" s="348">
        <v>0</v>
      </c>
      <c r="K37" s="341">
        <f t="shared" si="7"/>
        <v>0</v>
      </c>
      <c r="L37" s="316"/>
      <c r="M37" s="343" t="s">
        <v>300</v>
      </c>
      <c r="N37" s="343" t="s">
        <v>296</v>
      </c>
      <c r="O37" s="343">
        <v>0</v>
      </c>
      <c r="P37" s="348">
        <v>0</v>
      </c>
      <c r="Q37" s="341">
        <f t="shared" si="8"/>
        <v>0</v>
      </c>
    </row>
    <row r="38" spans="1:17">
      <c r="A38" s="343" t="s">
        <v>301</v>
      </c>
      <c r="B38" s="343" t="s">
        <v>302</v>
      </c>
      <c r="C38" s="343">
        <v>0</v>
      </c>
      <c r="D38" s="348">
        <v>0</v>
      </c>
      <c r="E38" s="341">
        <f t="shared" si="6"/>
        <v>0</v>
      </c>
      <c r="F38" s="316"/>
      <c r="G38" s="343" t="s">
        <v>301</v>
      </c>
      <c r="H38" s="343" t="s">
        <v>302</v>
      </c>
      <c r="I38" s="343">
        <v>0</v>
      </c>
      <c r="J38" s="348">
        <v>0</v>
      </c>
      <c r="K38" s="341">
        <f t="shared" si="7"/>
        <v>0</v>
      </c>
      <c r="L38" s="316"/>
      <c r="M38" s="343" t="s">
        <v>301</v>
      </c>
      <c r="N38" s="343" t="s">
        <v>302</v>
      </c>
      <c r="O38" s="343">
        <v>0</v>
      </c>
      <c r="P38" s="348">
        <v>0</v>
      </c>
      <c r="Q38" s="341">
        <f t="shared" si="8"/>
        <v>0</v>
      </c>
    </row>
    <row r="39" spans="1:17" ht="15" thickBot="1">
      <c r="A39" s="343" t="s">
        <v>303</v>
      </c>
      <c r="B39" s="343" t="s">
        <v>304</v>
      </c>
      <c r="C39" s="343">
        <v>0</v>
      </c>
      <c r="D39" s="348">
        <v>0</v>
      </c>
      <c r="E39" s="341">
        <f t="shared" si="6"/>
        <v>0</v>
      </c>
      <c r="F39" s="316"/>
      <c r="G39" s="343" t="s">
        <v>303</v>
      </c>
      <c r="H39" s="343" t="s">
        <v>304</v>
      </c>
      <c r="I39" s="343">
        <v>0</v>
      </c>
      <c r="J39" s="348">
        <v>0</v>
      </c>
      <c r="K39" s="341">
        <f t="shared" si="7"/>
        <v>0</v>
      </c>
      <c r="L39" s="316"/>
      <c r="M39" s="343" t="s">
        <v>303</v>
      </c>
      <c r="N39" s="343" t="s">
        <v>304</v>
      </c>
      <c r="O39" s="343">
        <v>0</v>
      </c>
      <c r="P39" s="348">
        <v>0</v>
      </c>
      <c r="Q39" s="341">
        <f t="shared" si="8"/>
        <v>0</v>
      </c>
    </row>
    <row r="40" spans="1:17" ht="15.75" thickBot="1">
      <c r="A40" s="344" t="s">
        <v>280</v>
      </c>
      <c r="B40" s="345"/>
      <c r="C40" s="345"/>
      <c r="D40" s="346"/>
      <c r="E40" s="347">
        <f>SUM(E30:E39)</f>
        <v>0</v>
      </c>
      <c r="F40" s="316"/>
      <c r="G40" s="344" t="s">
        <v>280</v>
      </c>
      <c r="H40" s="345"/>
      <c r="I40" s="345"/>
      <c r="J40" s="346"/>
      <c r="K40" s="347">
        <f>SUM(K30:K39)</f>
        <v>0</v>
      </c>
      <c r="L40" s="316"/>
      <c r="M40" s="344" t="s">
        <v>280</v>
      </c>
      <c r="N40" s="345"/>
      <c r="O40" s="345"/>
      <c r="P40" s="346"/>
      <c r="Q40" s="347">
        <f>SUM(Q30:Q39)</f>
        <v>0</v>
      </c>
    </row>
    <row r="41" spans="1:17">
      <c r="F41" s="316"/>
      <c r="L41" s="316"/>
    </row>
    <row r="42" spans="1:17" ht="16.5" thickBot="1">
      <c r="A42" s="317" t="s">
        <v>305</v>
      </c>
      <c r="F42" s="316"/>
      <c r="G42" s="317" t="s">
        <v>305</v>
      </c>
      <c r="L42" s="316"/>
      <c r="M42" s="317" t="s">
        <v>305</v>
      </c>
    </row>
    <row r="43" spans="1:17" ht="15.75" thickBot="1">
      <c r="A43" s="314" t="s">
        <v>306</v>
      </c>
      <c r="B43" s="688" t="s">
        <v>307</v>
      </c>
      <c r="C43" s="688"/>
      <c r="D43" s="349">
        <v>0.1</v>
      </c>
      <c r="E43" s="350">
        <f>D43*(E27+E40)</f>
        <v>0</v>
      </c>
      <c r="F43" s="316"/>
      <c r="G43" s="314" t="s">
        <v>306</v>
      </c>
      <c r="H43" s="688" t="s">
        <v>307</v>
      </c>
      <c r="I43" s="688"/>
      <c r="J43" s="349">
        <v>0.1</v>
      </c>
      <c r="K43" s="350">
        <f>J43*(K27+K40)</f>
        <v>0</v>
      </c>
      <c r="L43" s="316"/>
      <c r="M43" s="314" t="s">
        <v>306</v>
      </c>
      <c r="N43" s="688" t="s">
        <v>307</v>
      </c>
      <c r="O43" s="688"/>
      <c r="P43" s="349">
        <v>0.1</v>
      </c>
      <c r="Q43" s="350">
        <f>P43*(Q27+Q40)</f>
        <v>0</v>
      </c>
    </row>
    <row r="44" spans="1:17" ht="15.75" thickBot="1">
      <c r="A44" s="314" t="s">
        <v>308</v>
      </c>
      <c r="B44" s="688" t="s">
        <v>309</v>
      </c>
      <c r="C44" s="688"/>
      <c r="D44" s="349">
        <v>0.05</v>
      </c>
      <c r="E44" s="350">
        <f>D44*E40</f>
        <v>0</v>
      </c>
      <c r="F44" s="316"/>
      <c r="G44" s="314" t="s">
        <v>308</v>
      </c>
      <c r="H44" s="688" t="s">
        <v>309</v>
      </c>
      <c r="I44" s="688"/>
      <c r="J44" s="349">
        <v>0.05</v>
      </c>
      <c r="K44" s="350">
        <f>J44*K40</f>
        <v>0</v>
      </c>
      <c r="L44" s="316"/>
      <c r="M44" s="314" t="s">
        <v>308</v>
      </c>
      <c r="N44" s="688" t="s">
        <v>309</v>
      </c>
      <c r="O44" s="688"/>
      <c r="P44" s="349">
        <v>0.05</v>
      </c>
      <c r="Q44" s="350">
        <f>P44*Q40</f>
        <v>0</v>
      </c>
    </row>
    <row r="45" spans="1:17" ht="15.75" thickBot="1">
      <c r="A45" s="314" t="s">
        <v>310</v>
      </c>
      <c r="B45" s="314" t="s">
        <v>311</v>
      </c>
      <c r="D45" s="348">
        <v>0</v>
      </c>
      <c r="E45" s="351">
        <f>D45*B6</f>
        <v>0</v>
      </c>
      <c r="F45" s="316"/>
      <c r="G45" s="314" t="s">
        <v>310</v>
      </c>
      <c r="H45" s="314" t="s">
        <v>311</v>
      </c>
      <c r="J45" s="348">
        <v>0</v>
      </c>
      <c r="K45" s="351">
        <f>J45*H6</f>
        <v>0</v>
      </c>
      <c r="L45" s="316"/>
      <c r="M45" s="314" t="s">
        <v>310</v>
      </c>
      <c r="N45" s="314" t="s">
        <v>311</v>
      </c>
      <c r="P45" s="348">
        <v>0</v>
      </c>
      <c r="Q45" s="351">
        <f>P45*N6</f>
        <v>0</v>
      </c>
    </row>
    <row r="46" spans="1:17" ht="15.75" thickBot="1">
      <c r="A46" s="314" t="s">
        <v>312</v>
      </c>
      <c r="B46" s="688" t="s">
        <v>313</v>
      </c>
      <c r="C46" s="688"/>
      <c r="D46" s="349">
        <v>0.15</v>
      </c>
      <c r="E46" s="350">
        <f>D46*(E27+E40)</f>
        <v>0</v>
      </c>
      <c r="F46" s="316"/>
      <c r="G46" s="314" t="s">
        <v>312</v>
      </c>
      <c r="H46" s="688" t="s">
        <v>313</v>
      </c>
      <c r="I46" s="688"/>
      <c r="J46" s="349">
        <v>0.15</v>
      </c>
      <c r="K46" s="350">
        <f>J46*(K27+K40)</f>
        <v>0</v>
      </c>
      <c r="L46" s="316"/>
      <c r="M46" s="314" t="s">
        <v>312</v>
      </c>
      <c r="N46" s="688" t="s">
        <v>313</v>
      </c>
      <c r="O46" s="688"/>
      <c r="P46" s="349">
        <v>0.15</v>
      </c>
      <c r="Q46" s="350">
        <f>P46*(Q27+Q40)</f>
        <v>0</v>
      </c>
    </row>
    <row r="47" spans="1:17" ht="15.75" thickBot="1">
      <c r="A47" s="314" t="s">
        <v>314</v>
      </c>
      <c r="B47" s="314" t="s">
        <v>315</v>
      </c>
      <c r="C47" s="343">
        <v>0</v>
      </c>
      <c r="D47" s="348">
        <v>0</v>
      </c>
      <c r="E47" s="350">
        <f>C47*D47</f>
        <v>0</v>
      </c>
      <c r="F47" s="316"/>
      <c r="G47" s="314" t="s">
        <v>314</v>
      </c>
      <c r="H47" s="314" t="s">
        <v>315</v>
      </c>
      <c r="I47" s="343">
        <v>0</v>
      </c>
      <c r="J47" s="348">
        <v>0</v>
      </c>
      <c r="K47" s="350">
        <f>I47*J47</f>
        <v>0</v>
      </c>
      <c r="L47" s="316"/>
      <c r="M47" s="314" t="s">
        <v>314</v>
      </c>
      <c r="N47" s="314" t="s">
        <v>315</v>
      </c>
      <c r="O47" s="343">
        <v>0</v>
      </c>
      <c r="P47" s="348">
        <v>0</v>
      </c>
      <c r="Q47" s="350">
        <f>O47*P47</f>
        <v>0</v>
      </c>
    </row>
    <row r="48" spans="1:17" ht="15.75" thickBot="1">
      <c r="A48" s="314" t="s">
        <v>316</v>
      </c>
      <c r="B48" s="314" t="s">
        <v>317</v>
      </c>
      <c r="C48" s="352">
        <f>D10</f>
        <v>0</v>
      </c>
      <c r="D48" s="348">
        <v>0</v>
      </c>
      <c r="E48" s="350">
        <f>C48*D48</f>
        <v>0</v>
      </c>
      <c r="F48" s="316"/>
      <c r="G48" s="314" t="s">
        <v>316</v>
      </c>
      <c r="H48" s="314" t="s">
        <v>317</v>
      </c>
      <c r="I48" s="352">
        <f>J10</f>
        <v>0</v>
      </c>
      <c r="J48" s="348">
        <v>0</v>
      </c>
      <c r="K48" s="350">
        <f>I48*J48</f>
        <v>0</v>
      </c>
      <c r="L48" s="316"/>
      <c r="M48" s="314" t="s">
        <v>316</v>
      </c>
      <c r="N48" s="314" t="s">
        <v>317</v>
      </c>
      <c r="O48" s="352">
        <f>P10</f>
        <v>0</v>
      </c>
      <c r="P48" s="348">
        <v>0</v>
      </c>
      <c r="Q48" s="350">
        <f>O48*P48</f>
        <v>0</v>
      </c>
    </row>
    <row r="49" spans="1:17" ht="15.75" thickBot="1">
      <c r="A49" s="314" t="s">
        <v>318</v>
      </c>
      <c r="B49" s="353">
        <v>0.1</v>
      </c>
      <c r="C49" s="354" t="s">
        <v>319</v>
      </c>
      <c r="D49" s="348">
        <v>0</v>
      </c>
      <c r="E49" s="350">
        <f>D49*B49</f>
        <v>0</v>
      </c>
      <c r="F49" s="316"/>
      <c r="G49" s="314" t="s">
        <v>318</v>
      </c>
      <c r="H49" s="353">
        <v>0.1</v>
      </c>
      <c r="I49" s="354" t="s">
        <v>319</v>
      </c>
      <c r="J49" s="348">
        <v>0</v>
      </c>
      <c r="K49" s="350">
        <f>J49*H49</f>
        <v>0</v>
      </c>
      <c r="L49" s="316"/>
      <c r="M49" s="314" t="s">
        <v>318</v>
      </c>
      <c r="N49" s="353">
        <v>0.1</v>
      </c>
      <c r="O49" s="354" t="s">
        <v>319</v>
      </c>
      <c r="P49" s="348">
        <v>0</v>
      </c>
      <c r="Q49" s="350">
        <f>P49*N49</f>
        <v>0</v>
      </c>
    </row>
    <row r="50" spans="1:17" ht="15.75" thickBot="1">
      <c r="A50" s="344" t="s">
        <v>280</v>
      </c>
      <c r="B50" s="355"/>
      <c r="C50" s="355"/>
      <c r="D50" s="355"/>
      <c r="E50" s="347">
        <f>SUM(E43:E49)</f>
        <v>0</v>
      </c>
      <c r="F50" s="316"/>
      <c r="G50" s="344" t="s">
        <v>280</v>
      </c>
      <c r="H50" s="355"/>
      <c r="I50" s="355"/>
      <c r="J50" s="355"/>
      <c r="K50" s="347">
        <f>SUM(K43:K49)</f>
        <v>0</v>
      </c>
      <c r="L50" s="316"/>
      <c r="M50" s="344" t="s">
        <v>280</v>
      </c>
      <c r="N50" s="355"/>
      <c r="O50" s="355"/>
      <c r="P50" s="355"/>
      <c r="Q50" s="347">
        <f>SUM(Q43:Q49)</f>
        <v>0</v>
      </c>
    </row>
    <row r="51" spans="1:17" ht="15" thickBot="1">
      <c r="F51" s="316"/>
      <c r="L51" s="316"/>
    </row>
    <row r="52" spans="1:17" ht="18.75" thickBot="1">
      <c r="A52" s="290" t="s">
        <v>88</v>
      </c>
      <c r="B52" s="356"/>
      <c r="C52" s="356"/>
      <c r="D52" s="356"/>
      <c r="E52" s="357">
        <f>SUM(E16,E27,E40,E50)</f>
        <v>0</v>
      </c>
      <c r="F52" s="316"/>
      <c r="G52" s="290" t="s">
        <v>88</v>
      </c>
      <c r="H52" s="356"/>
      <c r="I52" s="356"/>
      <c r="J52" s="356"/>
      <c r="K52" s="357">
        <f>SUM(K16,K27,K40,K50)</f>
        <v>0</v>
      </c>
      <c r="L52" s="316"/>
      <c r="M52" s="290" t="s">
        <v>88</v>
      </c>
      <c r="N52" s="356"/>
      <c r="O52" s="356"/>
      <c r="P52" s="356"/>
      <c r="Q52" s="357">
        <f>SUM(Q16,Q27,Q40,Q50)</f>
        <v>0</v>
      </c>
    </row>
    <row r="53" spans="1:17" ht="15" thickBot="1">
      <c r="F53" s="316"/>
      <c r="L53" s="316"/>
    </row>
    <row r="54" spans="1:17" ht="15.75" thickBot="1">
      <c r="A54" s="329" t="s">
        <v>320</v>
      </c>
      <c r="B54" s="358">
        <f>IF(ISERR(E52/D10),0,E52/D10)</f>
        <v>0</v>
      </c>
      <c r="C54" s="318" t="s">
        <v>321</v>
      </c>
      <c r="F54" s="316"/>
      <c r="G54" s="329" t="s">
        <v>320</v>
      </c>
      <c r="H54" s="358">
        <f>IF(ISERR(K52/J10),0,K52/J10)</f>
        <v>0</v>
      </c>
      <c r="I54" s="318" t="s">
        <v>321</v>
      </c>
      <c r="L54" s="316"/>
      <c r="M54" s="329" t="s">
        <v>320</v>
      </c>
      <c r="N54" s="358">
        <f>IF(ISERR(Q52/P10),0,Q52/P10)</f>
        <v>0</v>
      </c>
      <c r="O54" s="318" t="s">
        <v>321</v>
      </c>
    </row>
    <row r="55" spans="1:17" ht="18.75" thickBot="1">
      <c r="A55" s="290" t="s">
        <v>322</v>
      </c>
      <c r="B55" s="359">
        <v>0</v>
      </c>
      <c r="F55" s="316"/>
      <c r="G55" s="290" t="s">
        <v>322</v>
      </c>
      <c r="H55" s="359">
        <v>0</v>
      </c>
      <c r="L55" s="316"/>
      <c r="M55" s="290" t="s">
        <v>322</v>
      </c>
      <c r="N55" s="359">
        <v>0</v>
      </c>
    </row>
    <row r="56" spans="1:17">
      <c r="B56" s="341"/>
      <c r="F56" s="316"/>
      <c r="H56" s="341"/>
      <c r="L56" s="316"/>
      <c r="N56" s="341"/>
    </row>
    <row r="57" spans="1:17" ht="16.5" thickBot="1">
      <c r="A57" s="317" t="s">
        <v>261</v>
      </c>
      <c r="B57" s="341"/>
      <c r="F57" s="316"/>
      <c r="G57" s="317" t="s">
        <v>261</v>
      </c>
      <c r="H57" s="341"/>
      <c r="L57" s="316"/>
      <c r="M57" s="317" t="s">
        <v>261</v>
      </c>
      <c r="N57" s="341"/>
    </row>
    <row r="58" spans="1:17" ht="15.75" thickBot="1">
      <c r="A58" s="329" t="s">
        <v>323</v>
      </c>
      <c r="B58" s="350">
        <f>B55-B54</f>
        <v>0</v>
      </c>
      <c r="F58" s="316"/>
      <c r="G58" s="329" t="s">
        <v>323</v>
      </c>
      <c r="H58" s="350">
        <f>H55-H54</f>
        <v>0</v>
      </c>
      <c r="L58" s="316"/>
      <c r="M58" s="329" t="s">
        <v>323</v>
      </c>
      <c r="N58" s="350">
        <f>N55-N54</f>
        <v>0</v>
      </c>
    </row>
    <row r="59" spans="1:17" ht="15.75" thickBot="1">
      <c r="A59" s="329" t="s">
        <v>263</v>
      </c>
      <c r="B59" s="350">
        <f>D10*B55</f>
        <v>0</v>
      </c>
      <c r="F59" s="316"/>
      <c r="G59" s="329" t="s">
        <v>263</v>
      </c>
      <c r="H59" s="350">
        <f>J10*H55</f>
        <v>0</v>
      </c>
      <c r="L59" s="316"/>
      <c r="M59" s="329" t="s">
        <v>263</v>
      </c>
      <c r="N59" s="350">
        <f>P10*N55</f>
        <v>0</v>
      </c>
    </row>
    <row r="60" spans="1:17" ht="16.5" thickBot="1">
      <c r="A60" s="360" t="s">
        <v>264</v>
      </c>
      <c r="B60" s="361">
        <f>B59-E52</f>
        <v>0</v>
      </c>
      <c r="F60" s="316"/>
      <c r="G60" s="360" t="s">
        <v>264</v>
      </c>
      <c r="H60" s="361">
        <f>H59-K52</f>
        <v>0</v>
      </c>
      <c r="L60" s="316"/>
      <c r="M60" s="360" t="s">
        <v>264</v>
      </c>
      <c r="N60" s="361">
        <f>N59-Q52</f>
        <v>0</v>
      </c>
    </row>
    <row r="61" spans="1:17">
      <c r="F61" s="316"/>
      <c r="L61" s="316"/>
    </row>
    <row r="64" spans="1:17" ht="15" thickBot="1"/>
    <row r="65" spans="7:9" ht="18.75" thickBot="1">
      <c r="G65" s="290" t="s">
        <v>204</v>
      </c>
      <c r="H65" s="691">
        <f>B59+H59+N59</f>
        <v>0</v>
      </c>
      <c r="I65" s="692"/>
    </row>
    <row r="66" spans="7:9" ht="18.75" thickBot="1">
      <c r="G66" s="290" t="s">
        <v>264</v>
      </c>
      <c r="H66" s="691">
        <f>B60+H60+N60</f>
        <v>0</v>
      </c>
      <c r="I66" s="692"/>
    </row>
    <row r="68" spans="7:9" ht="15.75">
      <c r="G68" s="382" t="s">
        <v>211</v>
      </c>
    </row>
  </sheetData>
  <sheetProtection sheet="1" objects="1" scenarios="1"/>
  <mergeCells count="17">
    <mergeCell ref="B44:C44"/>
    <mergeCell ref="H44:I44"/>
    <mergeCell ref="N44:O44"/>
    <mergeCell ref="H65:I65"/>
    <mergeCell ref="H66:I66"/>
    <mergeCell ref="B46:C46"/>
    <mergeCell ref="H46:I46"/>
    <mergeCell ref="N46:O46"/>
    <mergeCell ref="B43:C43"/>
    <mergeCell ref="H43:I43"/>
    <mergeCell ref="N43:O43"/>
    <mergeCell ref="B3:D3"/>
    <mergeCell ref="H3:J3"/>
    <mergeCell ref="N3:P3"/>
    <mergeCell ref="A12:E12"/>
    <mergeCell ref="G12:K12"/>
    <mergeCell ref="M12:Q12"/>
  </mergeCells>
  <dataValidations count="1">
    <dataValidation type="decimal" operator="greaterThanOrEqual" allowBlank="1" showInputMessage="1" showErrorMessage="1" error="Only numbers" sqref="B6:B7 D7:D8 H6:H7 J7:J8 N6:N7 P7:P8 B10 H10 N10 B15:D15 H15:J15 N15:P15 C20:C26 I20:I26 O20:O26 D30:D39 C31:C39 I31:I39 J30:J39 P30:P39 O31:O39 D43:D49 C47 B49 J43:J49 I47 H49 P43:P49 O47 N49 B55 H55 N55" xr:uid="{B5FF1525-8E8F-4EDD-84D8-2E6C9E2316EC}">
      <formula1>0</formula1>
    </dataValidation>
  </dataValidations>
  <hyperlinks>
    <hyperlink ref="G68" location="'Revenue Streams'!A1" display="Back Revenue Streams" xr:uid="{C6A40EAA-D30D-454A-B98C-2CA55D057F85}"/>
  </hyperlinks>
  <pageMargins left="0.7" right="0.7" top="0.75" bottom="0.75" header="0.3" footer="0.3"/>
  <pageSetup scale="4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2C2A-C4EA-4B6D-9F6F-205F100DEE87}">
  <sheetPr codeName="Sheet19">
    <pageSetUpPr fitToPage="1"/>
  </sheetPr>
  <dimension ref="A1:N54"/>
  <sheetViews>
    <sheetView topLeftCell="A21" zoomScale="120" zoomScaleNormal="120" workbookViewId="0">
      <selection activeCell="E16" sqref="E16"/>
    </sheetView>
  </sheetViews>
  <sheetFormatPr defaultRowHeight="12.75"/>
  <cols>
    <col min="1" max="1" width="18.375" style="249" customWidth="1"/>
    <col min="2" max="2" width="13.5" style="283" customWidth="1"/>
    <col min="3" max="3" width="15.625" style="283" customWidth="1"/>
    <col min="4" max="4" width="10.75" style="283" customWidth="1"/>
    <col min="5" max="5" width="22" style="283" bestFit="1" customWidth="1"/>
    <col min="6" max="6" width="16.25" style="283" customWidth="1"/>
    <col min="7" max="7" width="0.625" style="249" customWidth="1"/>
    <col min="8" max="8" width="18.375" style="249" customWidth="1"/>
    <col min="9" max="9" width="13.5" style="249" customWidth="1"/>
    <col min="10" max="10" width="15.625" style="249" customWidth="1"/>
    <col min="11" max="11" width="10.75" style="249" customWidth="1"/>
    <col min="12" max="12" width="18.125" style="249" customWidth="1"/>
    <col min="13" max="13" width="16.25" style="249" customWidth="1"/>
    <col min="14" max="14" width="0.625" style="249" customWidth="1"/>
    <col min="15" max="249" width="9" style="249"/>
    <col min="250" max="250" width="18.375" style="249" customWidth="1"/>
    <col min="251" max="251" width="13.5" style="249" customWidth="1"/>
    <col min="252" max="252" width="15.625" style="249" customWidth="1"/>
    <col min="253" max="253" width="10.75" style="249" customWidth="1"/>
    <col min="254" max="254" width="18.125" style="249" customWidth="1"/>
    <col min="255" max="255" width="16.25" style="249" customWidth="1"/>
    <col min="256" max="256" width="14.125" style="249" customWidth="1"/>
    <col min="257" max="257" width="12.5" style="249" customWidth="1"/>
    <col min="258" max="505" width="9" style="249"/>
    <col min="506" max="506" width="18.375" style="249" customWidth="1"/>
    <col min="507" max="507" width="13.5" style="249" customWidth="1"/>
    <col min="508" max="508" width="15.625" style="249" customWidth="1"/>
    <col min="509" max="509" width="10.75" style="249" customWidth="1"/>
    <col min="510" max="510" width="18.125" style="249" customWidth="1"/>
    <col min="511" max="511" width="16.25" style="249" customWidth="1"/>
    <col min="512" max="512" width="14.125" style="249" customWidth="1"/>
    <col min="513" max="513" width="12.5" style="249" customWidth="1"/>
    <col min="514" max="761" width="9" style="249"/>
    <col min="762" max="762" width="18.375" style="249" customWidth="1"/>
    <col min="763" max="763" width="13.5" style="249" customWidth="1"/>
    <col min="764" max="764" width="15.625" style="249" customWidth="1"/>
    <col min="765" max="765" width="10.75" style="249" customWidth="1"/>
    <col min="766" max="766" width="18.125" style="249" customWidth="1"/>
    <col min="767" max="767" width="16.25" style="249" customWidth="1"/>
    <col min="768" max="768" width="14.125" style="249" customWidth="1"/>
    <col min="769" max="769" width="12.5" style="249" customWidth="1"/>
    <col min="770" max="1017" width="9" style="249"/>
    <col min="1018" max="1018" width="18.375" style="249" customWidth="1"/>
    <col min="1019" max="1019" width="13.5" style="249" customWidth="1"/>
    <col min="1020" max="1020" width="15.625" style="249" customWidth="1"/>
    <col min="1021" max="1021" width="10.75" style="249" customWidth="1"/>
    <col min="1022" max="1022" width="18.125" style="249" customWidth="1"/>
    <col min="1023" max="1023" width="16.25" style="249" customWidth="1"/>
    <col min="1024" max="1024" width="14.125" style="249" customWidth="1"/>
    <col min="1025" max="1025" width="12.5" style="249" customWidth="1"/>
    <col min="1026" max="1273" width="9" style="249"/>
    <col min="1274" max="1274" width="18.375" style="249" customWidth="1"/>
    <col min="1275" max="1275" width="13.5" style="249" customWidth="1"/>
    <col min="1276" max="1276" width="15.625" style="249" customWidth="1"/>
    <col min="1277" max="1277" width="10.75" style="249" customWidth="1"/>
    <col min="1278" max="1278" width="18.125" style="249" customWidth="1"/>
    <col min="1279" max="1279" width="16.25" style="249" customWidth="1"/>
    <col min="1280" max="1280" width="14.125" style="249" customWidth="1"/>
    <col min="1281" max="1281" width="12.5" style="249" customWidth="1"/>
    <col min="1282" max="1529" width="9" style="249"/>
    <col min="1530" max="1530" width="18.375" style="249" customWidth="1"/>
    <col min="1531" max="1531" width="13.5" style="249" customWidth="1"/>
    <col min="1532" max="1532" width="15.625" style="249" customWidth="1"/>
    <col min="1533" max="1533" width="10.75" style="249" customWidth="1"/>
    <col min="1534" max="1534" width="18.125" style="249" customWidth="1"/>
    <col min="1535" max="1535" width="16.25" style="249" customWidth="1"/>
    <col min="1536" max="1536" width="14.125" style="249" customWidth="1"/>
    <col min="1537" max="1537" width="12.5" style="249" customWidth="1"/>
    <col min="1538" max="1785" width="9" style="249"/>
    <col min="1786" max="1786" width="18.375" style="249" customWidth="1"/>
    <col min="1787" max="1787" width="13.5" style="249" customWidth="1"/>
    <col min="1788" max="1788" width="15.625" style="249" customWidth="1"/>
    <col min="1789" max="1789" width="10.75" style="249" customWidth="1"/>
    <col min="1790" max="1790" width="18.125" style="249" customWidth="1"/>
    <col min="1791" max="1791" width="16.25" style="249" customWidth="1"/>
    <col min="1792" max="1792" width="14.125" style="249" customWidth="1"/>
    <col min="1793" max="1793" width="12.5" style="249" customWidth="1"/>
    <col min="1794" max="2041" width="9" style="249"/>
    <col min="2042" max="2042" width="18.375" style="249" customWidth="1"/>
    <col min="2043" max="2043" width="13.5" style="249" customWidth="1"/>
    <col min="2044" max="2044" width="15.625" style="249" customWidth="1"/>
    <col min="2045" max="2045" width="10.75" style="249" customWidth="1"/>
    <col min="2046" max="2046" width="18.125" style="249" customWidth="1"/>
    <col min="2047" max="2047" width="16.25" style="249" customWidth="1"/>
    <col min="2048" max="2048" width="14.125" style="249" customWidth="1"/>
    <col min="2049" max="2049" width="12.5" style="249" customWidth="1"/>
    <col min="2050" max="2297" width="9" style="249"/>
    <col min="2298" max="2298" width="18.375" style="249" customWidth="1"/>
    <col min="2299" max="2299" width="13.5" style="249" customWidth="1"/>
    <col min="2300" max="2300" width="15.625" style="249" customWidth="1"/>
    <col min="2301" max="2301" width="10.75" style="249" customWidth="1"/>
    <col min="2302" max="2302" width="18.125" style="249" customWidth="1"/>
    <col min="2303" max="2303" width="16.25" style="249" customWidth="1"/>
    <col min="2304" max="2304" width="14.125" style="249" customWidth="1"/>
    <col min="2305" max="2305" width="12.5" style="249" customWidth="1"/>
    <col min="2306" max="2553" width="9" style="249"/>
    <col min="2554" max="2554" width="18.375" style="249" customWidth="1"/>
    <col min="2555" max="2555" width="13.5" style="249" customWidth="1"/>
    <col min="2556" max="2556" width="15.625" style="249" customWidth="1"/>
    <col min="2557" max="2557" width="10.75" style="249" customWidth="1"/>
    <col min="2558" max="2558" width="18.125" style="249" customWidth="1"/>
    <col min="2559" max="2559" width="16.25" style="249" customWidth="1"/>
    <col min="2560" max="2560" width="14.125" style="249" customWidth="1"/>
    <col min="2561" max="2561" width="12.5" style="249" customWidth="1"/>
    <col min="2562" max="2809" width="9" style="249"/>
    <col min="2810" max="2810" width="18.375" style="249" customWidth="1"/>
    <col min="2811" max="2811" width="13.5" style="249" customWidth="1"/>
    <col min="2812" max="2812" width="15.625" style="249" customWidth="1"/>
    <col min="2813" max="2813" width="10.75" style="249" customWidth="1"/>
    <col min="2814" max="2814" width="18.125" style="249" customWidth="1"/>
    <col min="2815" max="2815" width="16.25" style="249" customWidth="1"/>
    <col min="2816" max="2816" width="14.125" style="249" customWidth="1"/>
    <col min="2817" max="2817" width="12.5" style="249" customWidth="1"/>
    <col min="2818" max="3065" width="9" style="249"/>
    <col min="3066" max="3066" width="18.375" style="249" customWidth="1"/>
    <col min="3067" max="3067" width="13.5" style="249" customWidth="1"/>
    <col min="3068" max="3068" width="15.625" style="249" customWidth="1"/>
    <col min="3069" max="3069" width="10.75" style="249" customWidth="1"/>
    <col min="3070" max="3070" width="18.125" style="249" customWidth="1"/>
    <col min="3071" max="3071" width="16.25" style="249" customWidth="1"/>
    <col min="3072" max="3072" width="14.125" style="249" customWidth="1"/>
    <col min="3073" max="3073" width="12.5" style="249" customWidth="1"/>
    <col min="3074" max="3321" width="9" style="249"/>
    <col min="3322" max="3322" width="18.375" style="249" customWidth="1"/>
    <col min="3323" max="3323" width="13.5" style="249" customWidth="1"/>
    <col min="3324" max="3324" width="15.625" style="249" customWidth="1"/>
    <col min="3325" max="3325" width="10.75" style="249" customWidth="1"/>
    <col min="3326" max="3326" width="18.125" style="249" customWidth="1"/>
    <col min="3327" max="3327" width="16.25" style="249" customWidth="1"/>
    <col min="3328" max="3328" width="14.125" style="249" customWidth="1"/>
    <col min="3329" max="3329" width="12.5" style="249" customWidth="1"/>
    <col min="3330" max="3577" width="9" style="249"/>
    <col min="3578" max="3578" width="18.375" style="249" customWidth="1"/>
    <col min="3579" max="3579" width="13.5" style="249" customWidth="1"/>
    <col min="3580" max="3580" width="15.625" style="249" customWidth="1"/>
    <col min="3581" max="3581" width="10.75" style="249" customWidth="1"/>
    <col min="3582" max="3582" width="18.125" style="249" customWidth="1"/>
    <col min="3583" max="3583" width="16.25" style="249" customWidth="1"/>
    <col min="3584" max="3584" width="14.125" style="249" customWidth="1"/>
    <col min="3585" max="3585" width="12.5" style="249" customWidth="1"/>
    <col min="3586" max="3833" width="9" style="249"/>
    <col min="3834" max="3834" width="18.375" style="249" customWidth="1"/>
    <col min="3835" max="3835" width="13.5" style="249" customWidth="1"/>
    <col min="3836" max="3836" width="15.625" style="249" customWidth="1"/>
    <col min="3837" max="3837" width="10.75" style="249" customWidth="1"/>
    <col min="3838" max="3838" width="18.125" style="249" customWidth="1"/>
    <col min="3839" max="3839" width="16.25" style="249" customWidth="1"/>
    <col min="3840" max="3840" width="14.125" style="249" customWidth="1"/>
    <col min="3841" max="3841" width="12.5" style="249" customWidth="1"/>
    <col min="3842" max="4089" width="9" style="249"/>
    <col min="4090" max="4090" width="18.375" style="249" customWidth="1"/>
    <col min="4091" max="4091" width="13.5" style="249" customWidth="1"/>
    <col min="4092" max="4092" width="15.625" style="249" customWidth="1"/>
    <col min="4093" max="4093" width="10.75" style="249" customWidth="1"/>
    <col min="4094" max="4094" width="18.125" style="249" customWidth="1"/>
    <col min="4095" max="4095" width="16.25" style="249" customWidth="1"/>
    <col min="4096" max="4096" width="14.125" style="249" customWidth="1"/>
    <col min="4097" max="4097" width="12.5" style="249" customWidth="1"/>
    <col min="4098" max="4345" width="9" style="249"/>
    <col min="4346" max="4346" width="18.375" style="249" customWidth="1"/>
    <col min="4347" max="4347" width="13.5" style="249" customWidth="1"/>
    <col min="4348" max="4348" width="15.625" style="249" customWidth="1"/>
    <col min="4349" max="4349" width="10.75" style="249" customWidth="1"/>
    <col min="4350" max="4350" width="18.125" style="249" customWidth="1"/>
    <col min="4351" max="4351" width="16.25" style="249" customWidth="1"/>
    <col min="4352" max="4352" width="14.125" style="249" customWidth="1"/>
    <col min="4353" max="4353" width="12.5" style="249" customWidth="1"/>
    <col min="4354" max="4601" width="9" style="249"/>
    <col min="4602" max="4602" width="18.375" style="249" customWidth="1"/>
    <col min="4603" max="4603" width="13.5" style="249" customWidth="1"/>
    <col min="4604" max="4604" width="15.625" style="249" customWidth="1"/>
    <col min="4605" max="4605" width="10.75" style="249" customWidth="1"/>
    <col min="4606" max="4606" width="18.125" style="249" customWidth="1"/>
    <col min="4607" max="4607" width="16.25" style="249" customWidth="1"/>
    <col min="4608" max="4608" width="14.125" style="249" customWidth="1"/>
    <col min="4609" max="4609" width="12.5" style="249" customWidth="1"/>
    <col min="4610" max="4857" width="9" style="249"/>
    <col min="4858" max="4858" width="18.375" style="249" customWidth="1"/>
    <col min="4859" max="4859" width="13.5" style="249" customWidth="1"/>
    <col min="4860" max="4860" width="15.625" style="249" customWidth="1"/>
    <col min="4861" max="4861" width="10.75" style="249" customWidth="1"/>
    <col min="4862" max="4862" width="18.125" style="249" customWidth="1"/>
    <col min="4863" max="4863" width="16.25" style="249" customWidth="1"/>
    <col min="4864" max="4864" width="14.125" style="249" customWidth="1"/>
    <col min="4865" max="4865" width="12.5" style="249" customWidth="1"/>
    <col min="4866" max="5113" width="9" style="249"/>
    <col min="5114" max="5114" width="18.375" style="249" customWidth="1"/>
    <col min="5115" max="5115" width="13.5" style="249" customWidth="1"/>
    <col min="5116" max="5116" width="15.625" style="249" customWidth="1"/>
    <col min="5117" max="5117" width="10.75" style="249" customWidth="1"/>
    <col min="5118" max="5118" width="18.125" style="249" customWidth="1"/>
    <col min="5119" max="5119" width="16.25" style="249" customWidth="1"/>
    <col min="5120" max="5120" width="14.125" style="249" customWidth="1"/>
    <col min="5121" max="5121" width="12.5" style="249" customWidth="1"/>
    <col min="5122" max="5369" width="9" style="249"/>
    <col min="5370" max="5370" width="18.375" style="249" customWidth="1"/>
    <col min="5371" max="5371" width="13.5" style="249" customWidth="1"/>
    <col min="5372" max="5372" width="15.625" style="249" customWidth="1"/>
    <col min="5373" max="5373" width="10.75" style="249" customWidth="1"/>
    <col min="5374" max="5374" width="18.125" style="249" customWidth="1"/>
    <col min="5375" max="5375" width="16.25" style="249" customWidth="1"/>
    <col min="5376" max="5376" width="14.125" style="249" customWidth="1"/>
    <col min="5377" max="5377" width="12.5" style="249" customWidth="1"/>
    <col min="5378" max="5625" width="9" style="249"/>
    <col min="5626" max="5626" width="18.375" style="249" customWidth="1"/>
    <col min="5627" max="5627" width="13.5" style="249" customWidth="1"/>
    <col min="5628" max="5628" width="15.625" style="249" customWidth="1"/>
    <col min="5629" max="5629" width="10.75" style="249" customWidth="1"/>
    <col min="5630" max="5630" width="18.125" style="249" customWidth="1"/>
    <col min="5631" max="5631" width="16.25" style="249" customWidth="1"/>
    <col min="5632" max="5632" width="14.125" style="249" customWidth="1"/>
    <col min="5633" max="5633" width="12.5" style="249" customWidth="1"/>
    <col min="5634" max="5881" width="9" style="249"/>
    <col min="5882" max="5882" width="18.375" style="249" customWidth="1"/>
    <col min="5883" max="5883" width="13.5" style="249" customWidth="1"/>
    <col min="5884" max="5884" width="15.625" style="249" customWidth="1"/>
    <col min="5885" max="5885" width="10.75" style="249" customWidth="1"/>
    <col min="5886" max="5886" width="18.125" style="249" customWidth="1"/>
    <col min="5887" max="5887" width="16.25" style="249" customWidth="1"/>
    <col min="5888" max="5888" width="14.125" style="249" customWidth="1"/>
    <col min="5889" max="5889" width="12.5" style="249" customWidth="1"/>
    <col min="5890" max="6137" width="9" style="249"/>
    <col min="6138" max="6138" width="18.375" style="249" customWidth="1"/>
    <col min="6139" max="6139" width="13.5" style="249" customWidth="1"/>
    <col min="6140" max="6140" width="15.625" style="249" customWidth="1"/>
    <col min="6141" max="6141" width="10.75" style="249" customWidth="1"/>
    <col min="6142" max="6142" width="18.125" style="249" customWidth="1"/>
    <col min="6143" max="6143" width="16.25" style="249" customWidth="1"/>
    <col min="6144" max="6144" width="14.125" style="249" customWidth="1"/>
    <col min="6145" max="6145" width="12.5" style="249" customWidth="1"/>
    <col min="6146" max="6393" width="9" style="249"/>
    <col min="6394" max="6394" width="18.375" style="249" customWidth="1"/>
    <col min="6395" max="6395" width="13.5" style="249" customWidth="1"/>
    <col min="6396" max="6396" width="15.625" style="249" customWidth="1"/>
    <col min="6397" max="6397" width="10.75" style="249" customWidth="1"/>
    <col min="6398" max="6398" width="18.125" style="249" customWidth="1"/>
    <col min="6399" max="6399" width="16.25" style="249" customWidth="1"/>
    <col min="6400" max="6400" width="14.125" style="249" customWidth="1"/>
    <col min="6401" max="6401" width="12.5" style="249" customWidth="1"/>
    <col min="6402" max="6649" width="9" style="249"/>
    <col min="6650" max="6650" width="18.375" style="249" customWidth="1"/>
    <col min="6651" max="6651" width="13.5" style="249" customWidth="1"/>
    <col min="6652" max="6652" width="15.625" style="249" customWidth="1"/>
    <col min="6653" max="6653" width="10.75" style="249" customWidth="1"/>
    <col min="6654" max="6654" width="18.125" style="249" customWidth="1"/>
    <col min="6655" max="6655" width="16.25" style="249" customWidth="1"/>
    <col min="6656" max="6656" width="14.125" style="249" customWidth="1"/>
    <col min="6657" max="6657" width="12.5" style="249" customWidth="1"/>
    <col min="6658" max="6905" width="9" style="249"/>
    <col min="6906" max="6906" width="18.375" style="249" customWidth="1"/>
    <col min="6907" max="6907" width="13.5" style="249" customWidth="1"/>
    <col min="6908" max="6908" width="15.625" style="249" customWidth="1"/>
    <col min="6909" max="6909" width="10.75" style="249" customWidth="1"/>
    <col min="6910" max="6910" width="18.125" style="249" customWidth="1"/>
    <col min="6911" max="6911" width="16.25" style="249" customWidth="1"/>
    <col min="6912" max="6912" width="14.125" style="249" customWidth="1"/>
    <col min="6913" max="6913" width="12.5" style="249" customWidth="1"/>
    <col min="6914" max="7161" width="9" style="249"/>
    <col min="7162" max="7162" width="18.375" style="249" customWidth="1"/>
    <col min="7163" max="7163" width="13.5" style="249" customWidth="1"/>
    <col min="7164" max="7164" width="15.625" style="249" customWidth="1"/>
    <col min="7165" max="7165" width="10.75" style="249" customWidth="1"/>
    <col min="7166" max="7166" width="18.125" style="249" customWidth="1"/>
    <col min="7167" max="7167" width="16.25" style="249" customWidth="1"/>
    <col min="7168" max="7168" width="14.125" style="249" customWidth="1"/>
    <col min="7169" max="7169" width="12.5" style="249" customWidth="1"/>
    <col min="7170" max="7417" width="9" style="249"/>
    <col min="7418" max="7418" width="18.375" style="249" customWidth="1"/>
    <col min="7419" max="7419" width="13.5" style="249" customWidth="1"/>
    <col min="7420" max="7420" width="15.625" style="249" customWidth="1"/>
    <col min="7421" max="7421" width="10.75" style="249" customWidth="1"/>
    <col min="7422" max="7422" width="18.125" style="249" customWidth="1"/>
    <col min="7423" max="7423" width="16.25" style="249" customWidth="1"/>
    <col min="7424" max="7424" width="14.125" style="249" customWidth="1"/>
    <col min="7425" max="7425" width="12.5" style="249" customWidth="1"/>
    <col min="7426" max="7673" width="9" style="249"/>
    <col min="7674" max="7674" width="18.375" style="249" customWidth="1"/>
    <col min="7675" max="7675" width="13.5" style="249" customWidth="1"/>
    <col min="7676" max="7676" width="15.625" style="249" customWidth="1"/>
    <col min="7677" max="7677" width="10.75" style="249" customWidth="1"/>
    <col min="7678" max="7678" width="18.125" style="249" customWidth="1"/>
    <col min="7679" max="7679" width="16.25" style="249" customWidth="1"/>
    <col min="7680" max="7680" width="14.125" style="249" customWidth="1"/>
    <col min="7681" max="7681" width="12.5" style="249" customWidth="1"/>
    <col min="7682" max="7929" width="9" style="249"/>
    <col min="7930" max="7930" width="18.375" style="249" customWidth="1"/>
    <col min="7931" max="7931" width="13.5" style="249" customWidth="1"/>
    <col min="7932" max="7932" width="15.625" style="249" customWidth="1"/>
    <col min="7933" max="7933" width="10.75" style="249" customWidth="1"/>
    <col min="7934" max="7934" width="18.125" style="249" customWidth="1"/>
    <col min="7935" max="7935" width="16.25" style="249" customWidth="1"/>
    <col min="7936" max="7936" width="14.125" style="249" customWidth="1"/>
    <col min="7937" max="7937" width="12.5" style="249" customWidth="1"/>
    <col min="7938" max="8185" width="9" style="249"/>
    <col min="8186" max="8186" width="18.375" style="249" customWidth="1"/>
    <col min="8187" max="8187" width="13.5" style="249" customWidth="1"/>
    <col min="8188" max="8188" width="15.625" style="249" customWidth="1"/>
    <col min="8189" max="8189" width="10.75" style="249" customWidth="1"/>
    <col min="8190" max="8190" width="18.125" style="249" customWidth="1"/>
    <col min="8191" max="8191" width="16.25" style="249" customWidth="1"/>
    <col min="8192" max="8192" width="14.125" style="249" customWidth="1"/>
    <col min="8193" max="8193" width="12.5" style="249" customWidth="1"/>
    <col min="8194" max="8441" width="9" style="249"/>
    <col min="8442" max="8442" width="18.375" style="249" customWidth="1"/>
    <col min="8443" max="8443" width="13.5" style="249" customWidth="1"/>
    <col min="8444" max="8444" width="15.625" style="249" customWidth="1"/>
    <col min="8445" max="8445" width="10.75" style="249" customWidth="1"/>
    <col min="8446" max="8446" width="18.125" style="249" customWidth="1"/>
    <col min="8447" max="8447" width="16.25" style="249" customWidth="1"/>
    <col min="8448" max="8448" width="14.125" style="249" customWidth="1"/>
    <col min="8449" max="8449" width="12.5" style="249" customWidth="1"/>
    <col min="8450" max="8697" width="9" style="249"/>
    <col min="8698" max="8698" width="18.375" style="249" customWidth="1"/>
    <col min="8699" max="8699" width="13.5" style="249" customWidth="1"/>
    <col min="8700" max="8700" width="15.625" style="249" customWidth="1"/>
    <col min="8701" max="8701" width="10.75" style="249" customWidth="1"/>
    <col min="8702" max="8702" width="18.125" style="249" customWidth="1"/>
    <col min="8703" max="8703" width="16.25" style="249" customWidth="1"/>
    <col min="8704" max="8704" width="14.125" style="249" customWidth="1"/>
    <col min="8705" max="8705" width="12.5" style="249" customWidth="1"/>
    <col min="8706" max="8953" width="9" style="249"/>
    <col min="8954" max="8954" width="18.375" style="249" customWidth="1"/>
    <col min="8955" max="8955" width="13.5" style="249" customWidth="1"/>
    <col min="8956" max="8956" width="15.625" style="249" customWidth="1"/>
    <col min="8957" max="8957" width="10.75" style="249" customWidth="1"/>
    <col min="8958" max="8958" width="18.125" style="249" customWidth="1"/>
    <col min="8959" max="8959" width="16.25" style="249" customWidth="1"/>
    <col min="8960" max="8960" width="14.125" style="249" customWidth="1"/>
    <col min="8961" max="8961" width="12.5" style="249" customWidth="1"/>
    <col min="8962" max="9209" width="9" style="249"/>
    <col min="9210" max="9210" width="18.375" style="249" customWidth="1"/>
    <col min="9211" max="9211" width="13.5" style="249" customWidth="1"/>
    <col min="9212" max="9212" width="15.625" style="249" customWidth="1"/>
    <col min="9213" max="9213" width="10.75" style="249" customWidth="1"/>
    <col min="9214" max="9214" width="18.125" style="249" customWidth="1"/>
    <col min="9215" max="9215" width="16.25" style="249" customWidth="1"/>
    <col min="9216" max="9216" width="14.125" style="249" customWidth="1"/>
    <col min="9217" max="9217" width="12.5" style="249" customWidth="1"/>
    <col min="9218" max="9465" width="9" style="249"/>
    <col min="9466" max="9466" width="18.375" style="249" customWidth="1"/>
    <col min="9467" max="9467" width="13.5" style="249" customWidth="1"/>
    <col min="9468" max="9468" width="15.625" style="249" customWidth="1"/>
    <col min="9469" max="9469" width="10.75" style="249" customWidth="1"/>
    <col min="9470" max="9470" width="18.125" style="249" customWidth="1"/>
    <col min="9471" max="9471" width="16.25" style="249" customWidth="1"/>
    <col min="9472" max="9472" width="14.125" style="249" customWidth="1"/>
    <col min="9473" max="9473" width="12.5" style="249" customWidth="1"/>
    <col min="9474" max="9721" width="9" style="249"/>
    <col min="9722" max="9722" width="18.375" style="249" customWidth="1"/>
    <col min="9723" max="9723" width="13.5" style="249" customWidth="1"/>
    <col min="9724" max="9724" width="15.625" style="249" customWidth="1"/>
    <col min="9725" max="9725" width="10.75" style="249" customWidth="1"/>
    <col min="9726" max="9726" width="18.125" style="249" customWidth="1"/>
    <col min="9727" max="9727" width="16.25" style="249" customWidth="1"/>
    <col min="9728" max="9728" width="14.125" style="249" customWidth="1"/>
    <col min="9729" max="9729" width="12.5" style="249" customWidth="1"/>
    <col min="9730" max="9977" width="9" style="249"/>
    <col min="9978" max="9978" width="18.375" style="249" customWidth="1"/>
    <col min="9979" max="9979" width="13.5" style="249" customWidth="1"/>
    <col min="9980" max="9980" width="15.625" style="249" customWidth="1"/>
    <col min="9981" max="9981" width="10.75" style="249" customWidth="1"/>
    <col min="9982" max="9982" width="18.125" style="249" customWidth="1"/>
    <col min="9983" max="9983" width="16.25" style="249" customWidth="1"/>
    <col min="9984" max="9984" width="14.125" style="249" customWidth="1"/>
    <col min="9985" max="9985" width="12.5" style="249" customWidth="1"/>
    <col min="9986" max="10233" width="9" style="249"/>
    <col min="10234" max="10234" width="18.375" style="249" customWidth="1"/>
    <col min="10235" max="10235" width="13.5" style="249" customWidth="1"/>
    <col min="10236" max="10236" width="15.625" style="249" customWidth="1"/>
    <col min="10237" max="10237" width="10.75" style="249" customWidth="1"/>
    <col min="10238" max="10238" width="18.125" style="249" customWidth="1"/>
    <col min="10239" max="10239" width="16.25" style="249" customWidth="1"/>
    <col min="10240" max="10240" width="14.125" style="249" customWidth="1"/>
    <col min="10241" max="10241" width="12.5" style="249" customWidth="1"/>
    <col min="10242" max="10489" width="9" style="249"/>
    <col min="10490" max="10490" width="18.375" style="249" customWidth="1"/>
    <col min="10491" max="10491" width="13.5" style="249" customWidth="1"/>
    <col min="10492" max="10492" width="15.625" style="249" customWidth="1"/>
    <col min="10493" max="10493" width="10.75" style="249" customWidth="1"/>
    <col min="10494" max="10494" width="18.125" style="249" customWidth="1"/>
    <col min="10495" max="10495" width="16.25" style="249" customWidth="1"/>
    <col min="10496" max="10496" width="14.125" style="249" customWidth="1"/>
    <col min="10497" max="10497" width="12.5" style="249" customWidth="1"/>
    <col min="10498" max="10745" width="9" style="249"/>
    <col min="10746" max="10746" width="18.375" style="249" customWidth="1"/>
    <col min="10747" max="10747" width="13.5" style="249" customWidth="1"/>
    <col min="10748" max="10748" width="15.625" style="249" customWidth="1"/>
    <col min="10749" max="10749" width="10.75" style="249" customWidth="1"/>
    <col min="10750" max="10750" width="18.125" style="249" customWidth="1"/>
    <col min="10751" max="10751" width="16.25" style="249" customWidth="1"/>
    <col min="10752" max="10752" width="14.125" style="249" customWidth="1"/>
    <col min="10753" max="10753" width="12.5" style="249" customWidth="1"/>
    <col min="10754" max="11001" width="9" style="249"/>
    <col min="11002" max="11002" width="18.375" style="249" customWidth="1"/>
    <col min="11003" max="11003" width="13.5" style="249" customWidth="1"/>
    <col min="11004" max="11004" width="15.625" style="249" customWidth="1"/>
    <col min="11005" max="11005" width="10.75" style="249" customWidth="1"/>
    <col min="11006" max="11006" width="18.125" style="249" customWidth="1"/>
    <col min="11007" max="11007" width="16.25" style="249" customWidth="1"/>
    <col min="11008" max="11008" width="14.125" style="249" customWidth="1"/>
    <col min="11009" max="11009" width="12.5" style="249" customWidth="1"/>
    <col min="11010" max="11257" width="9" style="249"/>
    <col min="11258" max="11258" width="18.375" style="249" customWidth="1"/>
    <col min="11259" max="11259" width="13.5" style="249" customWidth="1"/>
    <col min="11260" max="11260" width="15.625" style="249" customWidth="1"/>
    <col min="11261" max="11261" width="10.75" style="249" customWidth="1"/>
    <col min="11262" max="11262" width="18.125" style="249" customWidth="1"/>
    <col min="11263" max="11263" width="16.25" style="249" customWidth="1"/>
    <col min="11264" max="11264" width="14.125" style="249" customWidth="1"/>
    <col min="11265" max="11265" width="12.5" style="249" customWidth="1"/>
    <col min="11266" max="11513" width="9" style="249"/>
    <col min="11514" max="11514" width="18.375" style="249" customWidth="1"/>
    <col min="11515" max="11515" width="13.5" style="249" customWidth="1"/>
    <col min="11516" max="11516" width="15.625" style="249" customWidth="1"/>
    <col min="11517" max="11517" width="10.75" style="249" customWidth="1"/>
    <col min="11518" max="11518" width="18.125" style="249" customWidth="1"/>
    <col min="11519" max="11519" width="16.25" style="249" customWidth="1"/>
    <col min="11520" max="11520" width="14.125" style="249" customWidth="1"/>
    <col min="11521" max="11521" width="12.5" style="249" customWidth="1"/>
    <col min="11522" max="11769" width="9" style="249"/>
    <col min="11770" max="11770" width="18.375" style="249" customWidth="1"/>
    <col min="11771" max="11771" width="13.5" style="249" customWidth="1"/>
    <col min="11772" max="11772" width="15.625" style="249" customWidth="1"/>
    <col min="11773" max="11773" width="10.75" style="249" customWidth="1"/>
    <col min="11774" max="11774" width="18.125" style="249" customWidth="1"/>
    <col min="11775" max="11775" width="16.25" style="249" customWidth="1"/>
    <col min="11776" max="11776" width="14.125" style="249" customWidth="1"/>
    <col min="11777" max="11777" width="12.5" style="249" customWidth="1"/>
    <col min="11778" max="12025" width="9" style="249"/>
    <col min="12026" max="12026" width="18.375" style="249" customWidth="1"/>
    <col min="12027" max="12027" width="13.5" style="249" customWidth="1"/>
    <col min="12028" max="12028" width="15.625" style="249" customWidth="1"/>
    <col min="12029" max="12029" width="10.75" style="249" customWidth="1"/>
    <col min="12030" max="12030" width="18.125" style="249" customWidth="1"/>
    <col min="12031" max="12031" width="16.25" style="249" customWidth="1"/>
    <col min="12032" max="12032" width="14.125" style="249" customWidth="1"/>
    <col min="12033" max="12033" width="12.5" style="249" customWidth="1"/>
    <col min="12034" max="12281" width="9" style="249"/>
    <col min="12282" max="12282" width="18.375" style="249" customWidth="1"/>
    <col min="12283" max="12283" width="13.5" style="249" customWidth="1"/>
    <col min="12284" max="12284" width="15.625" style="249" customWidth="1"/>
    <col min="12285" max="12285" width="10.75" style="249" customWidth="1"/>
    <col min="12286" max="12286" width="18.125" style="249" customWidth="1"/>
    <col min="12287" max="12287" width="16.25" style="249" customWidth="1"/>
    <col min="12288" max="12288" width="14.125" style="249" customWidth="1"/>
    <col min="12289" max="12289" width="12.5" style="249" customWidth="1"/>
    <col min="12290" max="12537" width="9" style="249"/>
    <col min="12538" max="12538" width="18.375" style="249" customWidth="1"/>
    <col min="12539" max="12539" width="13.5" style="249" customWidth="1"/>
    <col min="12540" max="12540" width="15.625" style="249" customWidth="1"/>
    <col min="12541" max="12541" width="10.75" style="249" customWidth="1"/>
    <col min="12542" max="12542" width="18.125" style="249" customWidth="1"/>
    <col min="12543" max="12543" width="16.25" style="249" customWidth="1"/>
    <col min="12544" max="12544" width="14.125" style="249" customWidth="1"/>
    <col min="12545" max="12545" width="12.5" style="249" customWidth="1"/>
    <col min="12546" max="12793" width="9" style="249"/>
    <col min="12794" max="12794" width="18.375" style="249" customWidth="1"/>
    <col min="12795" max="12795" width="13.5" style="249" customWidth="1"/>
    <col min="12796" max="12796" width="15.625" style="249" customWidth="1"/>
    <col min="12797" max="12797" width="10.75" style="249" customWidth="1"/>
    <col min="12798" max="12798" width="18.125" style="249" customWidth="1"/>
    <col min="12799" max="12799" width="16.25" style="249" customWidth="1"/>
    <col min="12800" max="12800" width="14.125" style="249" customWidth="1"/>
    <col min="12801" max="12801" width="12.5" style="249" customWidth="1"/>
    <col min="12802" max="13049" width="9" style="249"/>
    <col min="13050" max="13050" width="18.375" style="249" customWidth="1"/>
    <col min="13051" max="13051" width="13.5" style="249" customWidth="1"/>
    <col min="13052" max="13052" width="15.625" style="249" customWidth="1"/>
    <col min="13053" max="13053" width="10.75" style="249" customWidth="1"/>
    <col min="13054" max="13054" width="18.125" style="249" customWidth="1"/>
    <col min="13055" max="13055" width="16.25" style="249" customWidth="1"/>
    <col min="13056" max="13056" width="14.125" style="249" customWidth="1"/>
    <col min="13057" max="13057" width="12.5" style="249" customWidth="1"/>
    <col min="13058" max="13305" width="9" style="249"/>
    <col min="13306" max="13306" width="18.375" style="249" customWidth="1"/>
    <col min="13307" max="13307" width="13.5" style="249" customWidth="1"/>
    <col min="13308" max="13308" width="15.625" style="249" customWidth="1"/>
    <col min="13309" max="13309" width="10.75" style="249" customWidth="1"/>
    <col min="13310" max="13310" width="18.125" style="249" customWidth="1"/>
    <col min="13311" max="13311" width="16.25" style="249" customWidth="1"/>
    <col min="13312" max="13312" width="14.125" style="249" customWidth="1"/>
    <col min="13313" max="13313" width="12.5" style="249" customWidth="1"/>
    <col min="13314" max="13561" width="9" style="249"/>
    <col min="13562" max="13562" width="18.375" style="249" customWidth="1"/>
    <col min="13563" max="13563" width="13.5" style="249" customWidth="1"/>
    <col min="13564" max="13564" width="15.625" style="249" customWidth="1"/>
    <col min="13565" max="13565" width="10.75" style="249" customWidth="1"/>
    <col min="13566" max="13566" width="18.125" style="249" customWidth="1"/>
    <col min="13567" max="13567" width="16.25" style="249" customWidth="1"/>
    <col min="13568" max="13568" width="14.125" style="249" customWidth="1"/>
    <col min="13569" max="13569" width="12.5" style="249" customWidth="1"/>
    <col min="13570" max="13817" width="9" style="249"/>
    <col min="13818" max="13818" width="18.375" style="249" customWidth="1"/>
    <col min="13819" max="13819" width="13.5" style="249" customWidth="1"/>
    <col min="13820" max="13820" width="15.625" style="249" customWidth="1"/>
    <col min="13821" max="13821" width="10.75" style="249" customWidth="1"/>
    <col min="13822" max="13822" width="18.125" style="249" customWidth="1"/>
    <col min="13823" max="13823" width="16.25" style="249" customWidth="1"/>
    <col min="13824" max="13824" width="14.125" style="249" customWidth="1"/>
    <col min="13825" max="13825" width="12.5" style="249" customWidth="1"/>
    <col min="13826" max="14073" width="9" style="249"/>
    <col min="14074" max="14074" width="18.375" style="249" customWidth="1"/>
    <col min="14075" max="14075" width="13.5" style="249" customWidth="1"/>
    <col min="14076" max="14076" width="15.625" style="249" customWidth="1"/>
    <col min="14077" max="14077" width="10.75" style="249" customWidth="1"/>
    <col min="14078" max="14078" width="18.125" style="249" customWidth="1"/>
    <col min="14079" max="14079" width="16.25" style="249" customWidth="1"/>
    <col min="14080" max="14080" width="14.125" style="249" customWidth="1"/>
    <col min="14081" max="14081" width="12.5" style="249" customWidth="1"/>
    <col min="14082" max="14329" width="9" style="249"/>
    <col min="14330" max="14330" width="18.375" style="249" customWidth="1"/>
    <col min="14331" max="14331" width="13.5" style="249" customWidth="1"/>
    <col min="14332" max="14332" width="15.625" style="249" customWidth="1"/>
    <col min="14333" max="14333" width="10.75" style="249" customWidth="1"/>
    <col min="14334" max="14334" width="18.125" style="249" customWidth="1"/>
    <col min="14335" max="14335" width="16.25" style="249" customWidth="1"/>
    <col min="14336" max="14336" width="14.125" style="249" customWidth="1"/>
    <col min="14337" max="14337" width="12.5" style="249" customWidth="1"/>
    <col min="14338" max="14585" width="9" style="249"/>
    <col min="14586" max="14586" width="18.375" style="249" customWidth="1"/>
    <col min="14587" max="14587" width="13.5" style="249" customWidth="1"/>
    <col min="14588" max="14588" width="15.625" style="249" customWidth="1"/>
    <col min="14589" max="14589" width="10.75" style="249" customWidth="1"/>
    <col min="14590" max="14590" width="18.125" style="249" customWidth="1"/>
    <col min="14591" max="14591" width="16.25" style="249" customWidth="1"/>
    <col min="14592" max="14592" width="14.125" style="249" customWidth="1"/>
    <col min="14593" max="14593" width="12.5" style="249" customWidth="1"/>
    <col min="14594" max="14841" width="9" style="249"/>
    <col min="14842" max="14842" width="18.375" style="249" customWidth="1"/>
    <col min="14843" max="14843" width="13.5" style="249" customWidth="1"/>
    <col min="14844" max="14844" width="15.625" style="249" customWidth="1"/>
    <col min="14845" max="14845" width="10.75" style="249" customWidth="1"/>
    <col min="14846" max="14846" width="18.125" style="249" customWidth="1"/>
    <col min="14847" max="14847" width="16.25" style="249" customWidth="1"/>
    <col min="14848" max="14848" width="14.125" style="249" customWidth="1"/>
    <col min="14849" max="14849" width="12.5" style="249" customWidth="1"/>
    <col min="14850" max="15097" width="9" style="249"/>
    <col min="15098" max="15098" width="18.375" style="249" customWidth="1"/>
    <col min="15099" max="15099" width="13.5" style="249" customWidth="1"/>
    <col min="15100" max="15100" width="15.625" style="249" customWidth="1"/>
    <col min="15101" max="15101" width="10.75" style="249" customWidth="1"/>
    <col min="15102" max="15102" width="18.125" style="249" customWidth="1"/>
    <col min="15103" max="15103" width="16.25" style="249" customWidth="1"/>
    <col min="15104" max="15104" width="14.125" style="249" customWidth="1"/>
    <col min="15105" max="15105" width="12.5" style="249" customWidth="1"/>
    <col min="15106" max="15353" width="9" style="249"/>
    <col min="15354" max="15354" width="18.375" style="249" customWidth="1"/>
    <col min="15355" max="15355" width="13.5" style="249" customWidth="1"/>
    <col min="15356" max="15356" width="15.625" style="249" customWidth="1"/>
    <col min="15357" max="15357" width="10.75" style="249" customWidth="1"/>
    <col min="15358" max="15358" width="18.125" style="249" customWidth="1"/>
    <col min="15359" max="15359" width="16.25" style="249" customWidth="1"/>
    <col min="15360" max="15360" width="14.125" style="249" customWidth="1"/>
    <col min="15361" max="15361" width="12.5" style="249" customWidth="1"/>
    <col min="15362" max="15609" width="9" style="249"/>
    <col min="15610" max="15610" width="18.375" style="249" customWidth="1"/>
    <col min="15611" max="15611" width="13.5" style="249" customWidth="1"/>
    <col min="15612" max="15612" width="15.625" style="249" customWidth="1"/>
    <col min="15613" max="15613" width="10.75" style="249" customWidth="1"/>
    <col min="15614" max="15614" width="18.125" style="249" customWidth="1"/>
    <col min="15615" max="15615" width="16.25" style="249" customWidth="1"/>
    <col min="15616" max="15616" width="14.125" style="249" customWidth="1"/>
    <col min="15617" max="15617" width="12.5" style="249" customWidth="1"/>
    <col min="15618" max="15865" width="9" style="249"/>
    <col min="15866" max="15866" width="18.375" style="249" customWidth="1"/>
    <col min="15867" max="15867" width="13.5" style="249" customWidth="1"/>
    <col min="15868" max="15868" width="15.625" style="249" customWidth="1"/>
    <col min="15869" max="15869" width="10.75" style="249" customWidth="1"/>
    <col min="15870" max="15870" width="18.125" style="249" customWidth="1"/>
    <col min="15871" max="15871" width="16.25" style="249" customWidth="1"/>
    <col min="15872" max="15872" width="14.125" style="249" customWidth="1"/>
    <col min="15873" max="15873" width="12.5" style="249" customWidth="1"/>
    <col min="15874" max="16121" width="9" style="249"/>
    <col min="16122" max="16122" width="18.375" style="249" customWidth="1"/>
    <col min="16123" max="16123" width="13.5" style="249" customWidth="1"/>
    <col min="16124" max="16124" width="15.625" style="249" customWidth="1"/>
    <col min="16125" max="16125" width="10.75" style="249" customWidth="1"/>
    <col min="16126" max="16126" width="18.125" style="249" customWidth="1"/>
    <col min="16127" max="16127" width="16.25" style="249" customWidth="1"/>
    <col min="16128" max="16128" width="14.125" style="249" customWidth="1"/>
    <col min="16129" max="16129" width="12.5" style="249" customWidth="1"/>
    <col min="16130" max="16384" width="9" style="249"/>
  </cols>
  <sheetData>
    <row r="1" spans="1:14" ht="26.25" customHeight="1">
      <c r="A1" s="246" t="s">
        <v>324</v>
      </c>
      <c r="B1" s="247"/>
      <c r="C1" s="247"/>
      <c r="D1" s="247"/>
      <c r="E1" s="247"/>
      <c r="F1" s="247"/>
      <c r="G1" s="248"/>
      <c r="H1" s="248"/>
      <c r="I1" s="248"/>
    </row>
    <row r="2" spans="1:14" ht="15" customHeight="1">
      <c r="A2" s="246"/>
      <c r="B2" s="247"/>
      <c r="C2" s="247"/>
      <c r="D2" s="247"/>
      <c r="E2" s="247"/>
      <c r="F2" s="247"/>
      <c r="G2" s="248"/>
      <c r="H2" s="248"/>
      <c r="I2" s="248"/>
    </row>
    <row r="3" spans="1:14" ht="26.25" customHeight="1">
      <c r="A3" s="667" t="s">
        <v>228</v>
      </c>
      <c r="B3" s="668"/>
      <c r="C3" s="668"/>
      <c r="D3" s="669" t="s">
        <v>325</v>
      </c>
      <c r="E3" s="670"/>
      <c r="F3" s="671"/>
      <c r="G3" s="250"/>
      <c r="H3" s="667" t="s">
        <v>326</v>
      </c>
      <c r="I3" s="668"/>
      <c r="J3" s="668"/>
      <c r="K3" s="669" t="s">
        <v>325</v>
      </c>
      <c r="L3" s="670"/>
      <c r="M3" s="671"/>
      <c r="N3" s="250"/>
    </row>
    <row r="4" spans="1:14" s="251" customFormat="1" ht="15.75">
      <c r="B4" s="252"/>
      <c r="C4" s="252"/>
      <c r="D4" s="253"/>
      <c r="E4" s="252"/>
      <c r="F4" s="252"/>
      <c r="G4" s="254"/>
      <c r="I4" s="252"/>
      <c r="J4" s="252"/>
      <c r="K4" s="253"/>
      <c r="L4" s="252"/>
      <c r="M4" s="252"/>
      <c r="N4" s="254"/>
    </row>
    <row r="5" spans="1:14" s="251" customFormat="1" ht="15.75">
      <c r="A5" s="255" t="s">
        <v>230</v>
      </c>
      <c r="B5" s="252"/>
      <c r="C5" s="252"/>
      <c r="D5" s="253"/>
      <c r="E5" s="252"/>
      <c r="F5" s="252"/>
      <c r="G5" s="254"/>
      <c r="H5" s="255" t="s">
        <v>230</v>
      </c>
      <c r="I5" s="252"/>
      <c r="J5" s="252"/>
      <c r="K5" s="253"/>
      <c r="L5" s="252"/>
      <c r="M5" s="252"/>
      <c r="N5" s="254"/>
    </row>
    <row r="6" spans="1:14" s="251" customFormat="1" ht="15.75">
      <c r="A6" s="256" t="str">
        <f>"No. OF " &amp;  D3 &amp; " PER BATCH"</f>
        <v>No. OF LAMB PER BATCH</v>
      </c>
      <c r="B6" s="257"/>
      <c r="C6" s="257"/>
      <c r="D6" s="695">
        <v>100</v>
      </c>
      <c r="E6" s="696"/>
      <c r="F6" s="697"/>
      <c r="G6" s="254"/>
      <c r="H6" s="256" t="str">
        <f>"No. OF " &amp;  K3 &amp; " PER BATCH"</f>
        <v>No. OF LAMB PER BATCH</v>
      </c>
      <c r="I6" s="257"/>
      <c r="J6" s="257"/>
      <c r="K6" s="695">
        <v>100</v>
      </c>
      <c r="L6" s="696"/>
      <c r="M6" s="697"/>
      <c r="N6" s="254"/>
    </row>
    <row r="7" spans="1:14" s="251" customFormat="1" ht="15.75">
      <c r="A7" s="256" t="str">
        <f xml:space="preserve"> "PURCHASE PRICE PER " &amp; D3</f>
        <v>PURCHASE PRICE PER LAMB</v>
      </c>
      <c r="B7" s="257"/>
      <c r="C7" s="257"/>
      <c r="D7" s="698">
        <v>150</v>
      </c>
      <c r="E7" s="699"/>
      <c r="F7" s="700"/>
      <c r="G7" s="254"/>
      <c r="H7" s="256" t="str">
        <f xml:space="preserve"> "PURCHASE PRICE PER " &amp; K3</f>
        <v>PURCHASE PRICE PER LAMB</v>
      </c>
      <c r="I7" s="257"/>
      <c r="J7" s="257"/>
      <c r="K7" s="698">
        <v>150</v>
      </c>
      <c r="L7" s="699"/>
      <c r="M7" s="700"/>
      <c r="N7" s="254"/>
    </row>
    <row r="8" spans="1:14" s="251" customFormat="1" ht="15.75">
      <c r="A8" s="256" t="s">
        <v>327</v>
      </c>
      <c r="B8" s="257"/>
      <c r="C8" s="258"/>
      <c r="D8" s="695">
        <v>180</v>
      </c>
      <c r="E8" s="696"/>
      <c r="F8" s="697"/>
      <c r="G8" s="254"/>
      <c r="H8" s="256" t="s">
        <v>327</v>
      </c>
      <c r="I8" s="257"/>
      <c r="J8" s="258"/>
      <c r="K8" s="695">
        <v>180</v>
      </c>
      <c r="L8" s="696"/>
      <c r="M8" s="697"/>
      <c r="N8" s="254"/>
    </row>
    <row r="9" spans="1:14" s="251" customFormat="1" ht="15.75">
      <c r="A9" s="256" t="s">
        <v>328</v>
      </c>
      <c r="B9" s="257"/>
      <c r="C9" s="259">
        <v>0.75</v>
      </c>
      <c r="D9" s="695">
        <f>D8*C9</f>
        <v>135</v>
      </c>
      <c r="E9" s="696"/>
      <c r="F9" s="697"/>
      <c r="G9" s="254"/>
      <c r="H9" s="256" t="s">
        <v>328</v>
      </c>
      <c r="I9" s="257"/>
      <c r="J9" s="259">
        <v>0.75</v>
      </c>
      <c r="K9" s="695">
        <f>K8*J9</f>
        <v>135</v>
      </c>
      <c r="L9" s="696"/>
      <c r="M9" s="697"/>
      <c r="N9" s="254"/>
    </row>
    <row r="10" spans="1:14" s="251" customFormat="1" ht="15.75">
      <c r="A10" s="260"/>
      <c r="B10" s="257"/>
      <c r="C10" s="257"/>
      <c r="G10" s="254"/>
      <c r="H10" s="260"/>
      <c r="I10" s="257"/>
      <c r="J10" s="257"/>
      <c r="N10" s="254"/>
    </row>
    <row r="11" spans="1:14" s="251" customFormat="1" ht="15.75">
      <c r="A11" s="261" t="s">
        <v>234</v>
      </c>
      <c r="B11" s="252"/>
      <c r="C11" s="252"/>
      <c r="D11" s="252"/>
      <c r="E11" s="262"/>
      <c r="F11" s="262"/>
      <c r="G11" s="254"/>
      <c r="H11" s="261" t="s">
        <v>234</v>
      </c>
      <c r="I11" s="252"/>
      <c r="J11" s="252"/>
      <c r="K11" s="252"/>
      <c r="L11" s="262"/>
      <c r="M11" s="262"/>
      <c r="N11" s="254"/>
    </row>
    <row r="12" spans="1:14" s="251" customFormat="1" ht="15.75">
      <c r="A12" s="263"/>
      <c r="B12" s="264"/>
      <c r="C12" s="265" t="s">
        <v>235</v>
      </c>
      <c r="D12" s="265" t="s">
        <v>236</v>
      </c>
      <c r="E12" s="265" t="str">
        <f>"PER "&amp;D3&amp;" COST"</f>
        <v>PER LAMB COST</v>
      </c>
      <c r="F12" s="265" t="s">
        <v>237</v>
      </c>
      <c r="G12" s="254"/>
      <c r="H12" s="263"/>
      <c r="I12" s="264"/>
      <c r="J12" s="265" t="s">
        <v>235</v>
      </c>
      <c r="K12" s="265" t="s">
        <v>236</v>
      </c>
      <c r="L12" s="265" t="str">
        <f>"PER "&amp;K3&amp;" COST"</f>
        <v>PER LAMB COST</v>
      </c>
      <c r="M12" s="265" t="s">
        <v>237</v>
      </c>
      <c r="N12" s="254"/>
    </row>
    <row r="13" spans="1:14" s="251" customFormat="1" ht="15">
      <c r="A13" s="251" t="s">
        <v>238</v>
      </c>
      <c r="B13" s="252"/>
      <c r="C13" s="266">
        <v>50</v>
      </c>
      <c r="D13" s="267">
        <v>6</v>
      </c>
      <c r="E13" s="268">
        <f>C13*D13/D6</f>
        <v>3</v>
      </c>
      <c r="F13" s="268">
        <f t="shared" ref="F13:F18" si="0">D$6*E13</f>
        <v>300</v>
      </c>
      <c r="G13" s="254"/>
      <c r="H13" s="251" t="s">
        <v>238</v>
      </c>
      <c r="I13" s="252"/>
      <c r="J13" s="266">
        <v>50</v>
      </c>
      <c r="K13" s="267">
        <v>6</v>
      </c>
      <c r="L13" s="452">
        <f>J13*K13/K6</f>
        <v>3</v>
      </c>
      <c r="M13" s="268">
        <f t="shared" ref="M13:M18" si="1">K$6*L13</f>
        <v>300</v>
      </c>
      <c r="N13" s="254"/>
    </row>
    <row r="14" spans="1:14" s="251" customFormat="1" ht="15">
      <c r="A14" s="251" t="s">
        <v>239</v>
      </c>
      <c r="B14" s="252"/>
      <c r="C14" s="266">
        <v>75</v>
      </c>
      <c r="D14" s="267">
        <v>10</v>
      </c>
      <c r="E14" s="268">
        <f>C14*D14/D6</f>
        <v>7.5</v>
      </c>
      <c r="F14" s="268">
        <f t="shared" si="0"/>
        <v>750</v>
      </c>
      <c r="G14" s="254"/>
      <c r="H14" s="251" t="s">
        <v>239</v>
      </c>
      <c r="I14" s="252"/>
      <c r="J14" s="266">
        <v>75</v>
      </c>
      <c r="K14" s="267">
        <v>10</v>
      </c>
      <c r="L14" s="452">
        <f>J14*K14/K6</f>
        <v>7.5</v>
      </c>
      <c r="M14" s="268">
        <f t="shared" si="1"/>
        <v>750</v>
      </c>
      <c r="N14" s="254"/>
    </row>
    <row r="15" spans="1:14" s="251" customFormat="1" ht="15">
      <c r="A15" s="251" t="s">
        <v>329</v>
      </c>
      <c r="B15" s="252"/>
      <c r="C15" s="266">
        <v>25</v>
      </c>
      <c r="D15" s="267">
        <v>2</v>
      </c>
      <c r="E15" s="268">
        <f>C15*D15/D6</f>
        <v>0.5</v>
      </c>
      <c r="F15" s="268">
        <f t="shared" si="0"/>
        <v>50</v>
      </c>
      <c r="G15" s="254"/>
      <c r="H15" s="251" t="s">
        <v>329</v>
      </c>
      <c r="I15" s="252"/>
      <c r="J15" s="266">
        <v>25</v>
      </c>
      <c r="K15" s="267">
        <v>2</v>
      </c>
      <c r="L15" s="452">
        <f>J15*K15/K6</f>
        <v>0.5</v>
      </c>
      <c r="M15" s="268">
        <f t="shared" si="1"/>
        <v>50</v>
      </c>
      <c r="N15" s="254"/>
    </row>
    <row r="16" spans="1:14" s="251" customFormat="1" ht="15">
      <c r="A16" s="251" t="s">
        <v>241</v>
      </c>
      <c r="B16" s="252"/>
      <c r="C16" s="252"/>
      <c r="D16" s="252"/>
      <c r="E16" s="266">
        <v>25</v>
      </c>
      <c r="F16" s="268">
        <f t="shared" si="0"/>
        <v>2500</v>
      </c>
      <c r="G16" s="254"/>
      <c r="H16" s="251" t="s">
        <v>241</v>
      </c>
      <c r="I16" s="252"/>
      <c r="J16" s="252"/>
      <c r="K16" s="252"/>
      <c r="L16" s="266">
        <v>25</v>
      </c>
      <c r="M16" s="268">
        <f t="shared" si="1"/>
        <v>2500</v>
      </c>
      <c r="N16" s="254"/>
    </row>
    <row r="17" spans="1:14" s="251" customFormat="1" ht="15.75">
      <c r="A17" s="269" t="s">
        <v>242</v>
      </c>
      <c r="B17" s="270"/>
      <c r="C17" s="270"/>
      <c r="D17" s="270"/>
      <c r="E17" s="271">
        <f>SUM(E13:E16)</f>
        <v>36</v>
      </c>
      <c r="F17" s="272">
        <f t="shared" si="0"/>
        <v>3600</v>
      </c>
      <c r="G17" s="254"/>
      <c r="H17" s="269" t="s">
        <v>242</v>
      </c>
      <c r="I17" s="270"/>
      <c r="J17" s="270"/>
      <c r="K17" s="270"/>
      <c r="L17" s="271">
        <f>SUM(L13:L16)</f>
        <v>36</v>
      </c>
      <c r="M17" s="272">
        <f t="shared" si="1"/>
        <v>3600</v>
      </c>
      <c r="N17" s="254"/>
    </row>
    <row r="18" spans="1:14" s="251" customFormat="1" ht="15">
      <c r="A18" s="251" t="s">
        <v>240</v>
      </c>
      <c r="B18" s="252"/>
      <c r="C18" s="273">
        <v>0.05</v>
      </c>
      <c r="D18" s="252"/>
      <c r="E18" s="268">
        <f>C18*E17</f>
        <v>1.8</v>
      </c>
      <c r="F18" s="268">
        <f t="shared" si="0"/>
        <v>180</v>
      </c>
      <c r="G18" s="254"/>
      <c r="H18" s="251" t="s">
        <v>240</v>
      </c>
      <c r="I18" s="252"/>
      <c r="J18" s="273">
        <v>0.05</v>
      </c>
      <c r="K18" s="252"/>
      <c r="L18" s="268">
        <f>J18*L17</f>
        <v>1.8</v>
      </c>
      <c r="M18" s="268">
        <f t="shared" si="1"/>
        <v>180</v>
      </c>
      <c r="N18" s="254"/>
    </row>
    <row r="19" spans="1:14" s="251" customFormat="1" ht="15">
      <c r="A19" s="251" t="s">
        <v>330</v>
      </c>
      <c r="B19" s="252"/>
      <c r="C19" s="252"/>
      <c r="D19" s="252"/>
      <c r="E19" s="266">
        <v>50</v>
      </c>
      <c r="F19" s="268">
        <f>E19*D6</f>
        <v>5000</v>
      </c>
      <c r="G19" s="254"/>
      <c r="H19" s="251" t="s">
        <v>330</v>
      </c>
      <c r="I19" s="252"/>
      <c r="J19" s="252"/>
      <c r="K19" s="252"/>
      <c r="L19" s="266">
        <v>50</v>
      </c>
      <c r="M19" s="268">
        <f>L19*K6</f>
        <v>5000</v>
      </c>
      <c r="N19" s="254"/>
    </row>
    <row r="20" spans="1:14" s="251" customFormat="1" ht="15">
      <c r="A20" s="251" t="str">
        <f>A7</f>
        <v>PURCHASE PRICE PER LAMB</v>
      </c>
      <c r="B20" s="252"/>
      <c r="C20" s="252"/>
      <c r="D20" s="252"/>
      <c r="E20" s="268">
        <f>+D7</f>
        <v>150</v>
      </c>
      <c r="F20" s="268">
        <f>D7*D6</f>
        <v>15000</v>
      </c>
      <c r="G20" s="254"/>
      <c r="H20" s="251" t="str">
        <f>H7</f>
        <v>PURCHASE PRICE PER LAMB</v>
      </c>
      <c r="I20" s="252"/>
      <c r="J20" s="252"/>
      <c r="K20" s="252"/>
      <c r="L20" s="268">
        <f>+K7</f>
        <v>150</v>
      </c>
      <c r="M20" s="268">
        <f>K7*K6</f>
        <v>15000</v>
      </c>
      <c r="N20" s="254"/>
    </row>
    <row r="21" spans="1:14" s="251" customFormat="1" ht="15.75">
      <c r="A21" s="269" t="s">
        <v>242</v>
      </c>
      <c r="B21" s="270"/>
      <c r="C21" s="270"/>
      <c r="D21" s="270"/>
      <c r="E21" s="271"/>
      <c r="F21" s="272">
        <f>SUM(F17:F20)</f>
        <v>23780</v>
      </c>
      <c r="G21" s="254"/>
      <c r="H21" s="269" t="s">
        <v>242</v>
      </c>
      <c r="I21" s="270"/>
      <c r="J21" s="270"/>
      <c r="K21" s="270"/>
      <c r="L21" s="271"/>
      <c r="M21" s="272">
        <f>SUM(M17:M20)</f>
        <v>23780</v>
      </c>
      <c r="N21" s="254"/>
    </row>
    <row r="22" spans="1:14" s="251" customFormat="1" ht="15">
      <c r="G22" s="254"/>
      <c r="N22" s="254"/>
    </row>
    <row r="23" spans="1:14" s="251" customFormat="1" ht="15.75">
      <c r="A23" s="255" t="s">
        <v>243</v>
      </c>
      <c r="G23" s="254"/>
      <c r="H23" s="255" t="s">
        <v>243</v>
      </c>
      <c r="N23" s="254"/>
    </row>
    <row r="24" spans="1:14" s="251" customFormat="1" ht="15.75">
      <c r="A24" s="263"/>
      <c r="B24" s="265" t="s">
        <v>331</v>
      </c>
      <c r="C24" s="265" t="s">
        <v>244</v>
      </c>
      <c r="D24" s="265" t="s">
        <v>245</v>
      </c>
      <c r="E24" s="265" t="s">
        <v>246</v>
      </c>
      <c r="F24" s="265" t="s">
        <v>247</v>
      </c>
      <c r="G24" s="254"/>
      <c r="H24" s="263"/>
      <c r="I24" s="265" t="s">
        <v>331</v>
      </c>
      <c r="J24" s="265" t="s">
        <v>244</v>
      </c>
      <c r="K24" s="265" t="s">
        <v>245</v>
      </c>
      <c r="L24" s="265" t="s">
        <v>246</v>
      </c>
      <c r="M24" s="265" t="s">
        <v>247</v>
      </c>
      <c r="N24" s="254"/>
    </row>
    <row r="25" spans="1:14" s="251" customFormat="1" ht="15">
      <c r="A25" s="251" t="s">
        <v>248</v>
      </c>
      <c r="B25" s="267">
        <v>2</v>
      </c>
      <c r="C25" s="266">
        <v>200</v>
      </c>
      <c r="D25" s="267">
        <v>6</v>
      </c>
      <c r="E25" s="252"/>
      <c r="F25" s="268">
        <f>B25*C25*D25</f>
        <v>2400</v>
      </c>
      <c r="G25" s="254"/>
      <c r="H25" s="251" t="s">
        <v>248</v>
      </c>
      <c r="I25" s="267">
        <v>2</v>
      </c>
      <c r="J25" s="266">
        <v>200</v>
      </c>
      <c r="K25" s="267">
        <v>6</v>
      </c>
      <c r="L25" s="252"/>
      <c r="M25" s="268">
        <f>I25*J25*K25</f>
        <v>2400</v>
      </c>
      <c r="N25" s="254"/>
    </row>
    <row r="26" spans="1:14" s="251" customFormat="1" ht="15">
      <c r="A26" s="251" t="s">
        <v>249</v>
      </c>
      <c r="B26" s="267">
        <v>2</v>
      </c>
      <c r="C26" s="266">
        <v>200</v>
      </c>
      <c r="D26" s="267">
        <v>6</v>
      </c>
      <c r="E26" s="252"/>
      <c r="F26" s="268">
        <f>B26*C26*D26</f>
        <v>2400</v>
      </c>
      <c r="G26" s="254"/>
      <c r="H26" s="251" t="s">
        <v>249</v>
      </c>
      <c r="I26" s="267">
        <v>2</v>
      </c>
      <c r="J26" s="266">
        <v>200</v>
      </c>
      <c r="K26" s="267">
        <v>6</v>
      </c>
      <c r="L26" s="252"/>
      <c r="M26" s="268">
        <f>I26*J26*K26</f>
        <v>2400</v>
      </c>
      <c r="N26" s="254"/>
    </row>
    <row r="27" spans="1:14" s="251" customFormat="1" ht="15">
      <c r="A27" s="251" t="s">
        <v>250</v>
      </c>
      <c r="B27" s="252"/>
      <c r="C27" s="266">
        <v>100</v>
      </c>
      <c r="D27" s="267">
        <v>6</v>
      </c>
      <c r="E27" s="252"/>
      <c r="F27" s="268">
        <f>C27*D27</f>
        <v>600</v>
      </c>
      <c r="G27" s="254"/>
      <c r="H27" s="251" t="s">
        <v>250</v>
      </c>
      <c r="I27" s="252"/>
      <c r="J27" s="266">
        <v>100</v>
      </c>
      <c r="K27" s="267">
        <v>6</v>
      </c>
      <c r="L27" s="252"/>
      <c r="M27" s="268">
        <f>J27*K27</f>
        <v>600</v>
      </c>
      <c r="N27" s="254"/>
    </row>
    <row r="28" spans="1:14" s="251" customFormat="1" ht="15.75">
      <c r="A28" s="269" t="s">
        <v>242</v>
      </c>
      <c r="B28" s="270"/>
      <c r="C28" s="270"/>
      <c r="D28" s="270"/>
      <c r="E28" s="271"/>
      <c r="F28" s="272">
        <f>SUM(F25:F27)</f>
        <v>5400</v>
      </c>
      <c r="G28" s="254"/>
      <c r="H28" s="269" t="s">
        <v>242</v>
      </c>
      <c r="I28" s="270"/>
      <c r="J28" s="270"/>
      <c r="K28" s="270"/>
      <c r="L28" s="271"/>
      <c r="M28" s="272">
        <f>SUM(M25:M27)</f>
        <v>5400</v>
      </c>
      <c r="N28" s="254"/>
    </row>
    <row r="29" spans="1:14" s="251" customFormat="1" ht="15">
      <c r="G29" s="254"/>
      <c r="N29" s="254"/>
    </row>
    <row r="30" spans="1:14" s="251" customFormat="1" ht="15.75">
      <c r="A30" s="269" t="s">
        <v>332</v>
      </c>
      <c r="B30" s="270"/>
      <c r="C30" s="270"/>
      <c r="D30" s="270"/>
      <c r="E30" s="271"/>
      <c r="F30" s="272">
        <f>+F21+F28</f>
        <v>29180</v>
      </c>
      <c r="G30" s="254"/>
      <c r="H30" s="269" t="s">
        <v>332</v>
      </c>
      <c r="I30" s="270"/>
      <c r="J30" s="270"/>
      <c r="K30" s="270"/>
      <c r="L30" s="271"/>
      <c r="M30" s="272">
        <f>+M21+M28</f>
        <v>29180</v>
      </c>
      <c r="N30" s="254"/>
    </row>
    <row r="31" spans="1:14" s="251" customFormat="1" ht="15.75">
      <c r="A31" s="269" t="str">
        <f>"Total Production Costs per " &amp; D3</f>
        <v>Total Production Costs per LAMB</v>
      </c>
      <c r="B31" s="270"/>
      <c r="C31" s="270"/>
      <c r="D31" s="270"/>
      <c r="E31" s="271"/>
      <c r="F31" s="272">
        <f>IF(ISERR(F30/D6),0,F30/D6)</f>
        <v>291.8</v>
      </c>
      <c r="G31" s="274"/>
      <c r="H31" s="269" t="str">
        <f>"Total Production Costs per " &amp; K3</f>
        <v>Total Production Costs per LAMB</v>
      </c>
      <c r="I31" s="270"/>
      <c r="J31" s="270"/>
      <c r="K31" s="270"/>
      <c r="L31" s="271"/>
      <c r="M31" s="272">
        <f>IF(ISERR(M30/K6),0,M30/K6)</f>
        <v>291.8</v>
      </c>
      <c r="N31" s="274"/>
    </row>
    <row r="32" spans="1:14" s="251" customFormat="1" ht="15">
      <c r="A32" s="275"/>
      <c r="B32" s="275"/>
      <c r="C32" s="275"/>
      <c r="D32" s="275"/>
      <c r="E32" s="275"/>
      <c r="F32" s="275"/>
      <c r="G32" s="274"/>
      <c r="H32" s="275"/>
      <c r="I32" s="275"/>
      <c r="J32" s="275"/>
      <c r="K32" s="275"/>
      <c r="L32" s="275"/>
      <c r="M32" s="275"/>
      <c r="N32" s="274"/>
    </row>
    <row r="33" spans="1:14" s="251" customFormat="1" ht="15.75">
      <c r="A33" s="255" t="s">
        <v>333</v>
      </c>
      <c r="B33" s="252"/>
      <c r="C33" s="252"/>
      <c r="D33" s="252"/>
      <c r="E33" s="252"/>
      <c r="F33" s="276"/>
      <c r="G33" s="274"/>
      <c r="H33" s="255" t="s">
        <v>333</v>
      </c>
      <c r="I33" s="252"/>
      <c r="J33" s="252"/>
      <c r="K33" s="252"/>
      <c r="L33" s="252"/>
      <c r="M33" s="276"/>
      <c r="N33" s="274"/>
    </row>
    <row r="34" spans="1:14" s="251" customFormat="1" ht="15.75">
      <c r="A34" s="263"/>
      <c r="B34" s="265"/>
      <c r="C34" s="265"/>
      <c r="D34" s="265" t="str">
        <f xml:space="preserve"> "Per " &amp; D3 &amp; " (lbs)"</f>
        <v>Per LAMB (lbs)</v>
      </c>
      <c r="E34" s="265"/>
      <c r="F34" s="265" t="s">
        <v>334</v>
      </c>
      <c r="G34" s="254"/>
      <c r="H34" s="263"/>
      <c r="I34" s="265"/>
      <c r="J34" s="265"/>
      <c r="K34" s="265" t="str">
        <f xml:space="preserve"> "Per " &amp; K3 &amp; " (lbs)"</f>
        <v>Per LAMB (lbs)</v>
      </c>
      <c r="L34" s="265"/>
      <c r="M34" s="265" t="s">
        <v>334</v>
      </c>
      <c r="N34" s="254"/>
    </row>
    <row r="35" spans="1:14" s="251" customFormat="1" ht="15">
      <c r="A35" s="251" t="s">
        <v>335</v>
      </c>
      <c r="B35" s="252"/>
      <c r="D35" s="252">
        <f>D8</f>
        <v>180</v>
      </c>
      <c r="F35" s="277">
        <f>IF(ISERR((F31-F19/D6)/D35),0,(F31-F19/D6)/D35)</f>
        <v>1.3433333333333335</v>
      </c>
      <c r="G35" s="254"/>
      <c r="H35" s="251" t="s">
        <v>335</v>
      </c>
      <c r="I35" s="252"/>
      <c r="K35" s="252">
        <f>K8</f>
        <v>180</v>
      </c>
      <c r="M35" s="277">
        <f>IF(ISERR((M31-M19/K6)/K35),0,(M31-M19/K6)/K35)</f>
        <v>1.3433333333333335</v>
      </c>
      <c r="N35" s="254"/>
    </row>
    <row r="36" spans="1:14" s="251" customFormat="1" ht="15">
      <c r="A36" s="251" t="s">
        <v>336</v>
      </c>
      <c r="B36" s="278"/>
      <c r="D36" s="252">
        <f>D9</f>
        <v>135</v>
      </c>
      <c r="F36" s="277">
        <f>F31/D36</f>
        <v>2.1614814814814816</v>
      </c>
      <c r="G36" s="254"/>
      <c r="H36" s="251" t="s">
        <v>336</v>
      </c>
      <c r="I36" s="278"/>
      <c r="K36" s="252">
        <f>K9</f>
        <v>135</v>
      </c>
      <c r="M36" s="277">
        <f>M31/K36</f>
        <v>2.1614814814814816</v>
      </c>
      <c r="N36" s="254"/>
    </row>
    <row r="37" spans="1:14" s="251" customFormat="1" ht="15">
      <c r="B37" s="252"/>
      <c r="C37" s="252"/>
      <c r="D37" s="252"/>
      <c r="E37" s="252"/>
      <c r="F37" s="252"/>
      <c r="G37" s="254"/>
      <c r="I37" s="252"/>
      <c r="J37" s="252"/>
      <c r="K37" s="252"/>
      <c r="L37" s="252"/>
      <c r="M37" s="252"/>
      <c r="N37" s="254"/>
    </row>
    <row r="38" spans="1:14" s="251" customFormat="1" ht="15.75" thickBot="1">
      <c r="B38" s="252"/>
      <c r="C38" s="252"/>
      <c r="D38" s="252"/>
      <c r="E38" s="252"/>
      <c r="F38" s="252"/>
      <c r="G38" s="254"/>
      <c r="I38" s="252"/>
      <c r="J38" s="252"/>
      <c r="K38" s="252"/>
      <c r="L38" s="252"/>
      <c r="M38" s="252"/>
      <c r="N38" s="254"/>
    </row>
    <row r="39" spans="1:14" s="251" customFormat="1" ht="16.5" thickBot="1">
      <c r="A39" s="686" t="s">
        <v>320</v>
      </c>
      <c r="B39" s="687"/>
      <c r="C39" s="279">
        <f>F36</f>
        <v>2.1614814814814816</v>
      </c>
      <c r="D39" s="280" t="s">
        <v>321</v>
      </c>
      <c r="E39" s="252"/>
      <c r="F39" s="252"/>
      <c r="G39" s="254"/>
      <c r="H39" s="686" t="s">
        <v>320</v>
      </c>
      <c r="I39" s="687"/>
      <c r="J39" s="279">
        <f>M36</f>
        <v>2.1614814814814816</v>
      </c>
      <c r="K39" s="280" t="s">
        <v>321</v>
      </c>
      <c r="L39" s="252"/>
      <c r="M39" s="252"/>
      <c r="N39" s="254"/>
    </row>
    <row r="40" spans="1:14" ht="18.75" thickBot="1">
      <c r="A40" s="693" t="s">
        <v>322</v>
      </c>
      <c r="B40" s="694"/>
      <c r="C40" s="281">
        <v>12</v>
      </c>
      <c r="D40" s="282"/>
      <c r="G40" s="284"/>
      <c r="H40" s="693" t="s">
        <v>322</v>
      </c>
      <c r="I40" s="694"/>
      <c r="J40" s="281">
        <v>12</v>
      </c>
      <c r="K40" s="282"/>
      <c r="L40" s="283"/>
      <c r="M40" s="283"/>
      <c r="N40" s="284"/>
    </row>
    <row r="41" spans="1:14" ht="14.25">
      <c r="A41" s="285"/>
      <c r="B41" s="286"/>
      <c r="C41" s="287"/>
      <c r="D41" s="282"/>
      <c r="G41" s="284"/>
      <c r="H41" s="285"/>
      <c r="I41" s="286"/>
      <c r="J41" s="287"/>
      <c r="K41" s="282"/>
      <c r="L41" s="283"/>
      <c r="M41" s="283"/>
      <c r="N41" s="284"/>
    </row>
    <row r="42" spans="1:14" ht="16.5" thickBot="1">
      <c r="A42" s="677" t="s">
        <v>261</v>
      </c>
      <c r="B42" s="677"/>
      <c r="C42" s="287"/>
      <c r="D42" s="282"/>
      <c r="G42" s="284"/>
      <c r="H42" s="677" t="s">
        <v>261</v>
      </c>
      <c r="I42" s="677"/>
      <c r="J42" s="287"/>
      <c r="K42" s="282"/>
      <c r="L42" s="283"/>
      <c r="M42" s="283"/>
      <c r="N42" s="284"/>
    </row>
    <row r="43" spans="1:14" ht="15.75" thickBot="1">
      <c r="A43" s="686" t="s">
        <v>323</v>
      </c>
      <c r="B43" s="687"/>
      <c r="C43" s="288">
        <f>C40-C39</f>
        <v>9.8385185185185193</v>
      </c>
      <c r="D43" s="282"/>
      <c r="G43" s="284"/>
      <c r="H43" s="686" t="s">
        <v>323</v>
      </c>
      <c r="I43" s="687"/>
      <c r="J43" s="288">
        <f>J40-J39</f>
        <v>9.8385185185185193</v>
      </c>
      <c r="K43" s="282"/>
      <c r="L43" s="283"/>
      <c r="M43" s="283"/>
      <c r="N43" s="284"/>
    </row>
    <row r="44" spans="1:14" ht="15.75" thickBot="1">
      <c r="A44" s="686" t="s">
        <v>263</v>
      </c>
      <c r="B44" s="687"/>
      <c r="C44" s="279">
        <f>D36*C40*D6</f>
        <v>162000</v>
      </c>
      <c r="D44" s="282"/>
      <c r="G44" s="284"/>
      <c r="H44" s="686" t="s">
        <v>263</v>
      </c>
      <c r="I44" s="687"/>
      <c r="J44" s="279">
        <f>K36*J40*K6</f>
        <v>162000</v>
      </c>
      <c r="K44" s="282"/>
      <c r="L44" s="283"/>
      <c r="M44" s="283"/>
      <c r="N44" s="284"/>
    </row>
    <row r="45" spans="1:14" ht="16.5" thickBot="1">
      <c r="A45" s="675" t="s">
        <v>264</v>
      </c>
      <c r="B45" s="676"/>
      <c r="C45" s="289">
        <f>C44-F30</f>
        <v>132820</v>
      </c>
      <c r="D45" s="282"/>
      <c r="G45" s="284"/>
      <c r="H45" s="675" t="s">
        <v>264</v>
      </c>
      <c r="I45" s="676"/>
      <c r="J45" s="289">
        <f>J44-M30</f>
        <v>132820</v>
      </c>
      <c r="K45" s="282"/>
      <c r="L45" s="283"/>
      <c r="M45" s="283"/>
      <c r="N45" s="284"/>
    </row>
    <row r="46" spans="1:14">
      <c r="G46" s="284"/>
      <c r="I46" s="283"/>
      <c r="J46" s="283"/>
      <c r="K46" s="283"/>
      <c r="L46" s="283"/>
      <c r="M46" s="283"/>
      <c r="N46" s="284"/>
    </row>
    <row r="50" spans="6:8" ht="13.5" thickBot="1"/>
    <row r="51" spans="6:8" ht="18.75" thickBot="1">
      <c r="F51" s="290" t="s">
        <v>204</v>
      </c>
      <c r="G51" s="691">
        <f>C44+J44</f>
        <v>324000</v>
      </c>
      <c r="H51" s="692"/>
    </row>
    <row r="52" spans="6:8" ht="18.75" thickBot="1">
      <c r="F52" s="290" t="s">
        <v>264</v>
      </c>
      <c r="G52" s="691">
        <f>C45+J45</f>
        <v>265640</v>
      </c>
      <c r="H52" s="692"/>
    </row>
    <row r="54" spans="6:8" ht="15.75">
      <c r="F54" s="387" t="s">
        <v>211</v>
      </c>
      <c r="G54" s="388"/>
      <c r="H54" s="386"/>
    </row>
  </sheetData>
  <mergeCells count="26">
    <mergeCell ref="A44:B44"/>
    <mergeCell ref="A45:B45"/>
    <mergeCell ref="A3:C3"/>
    <mergeCell ref="D3:F3"/>
    <mergeCell ref="D6:F6"/>
    <mergeCell ref="D7:F7"/>
    <mergeCell ref="D8:F8"/>
    <mergeCell ref="D9:F9"/>
    <mergeCell ref="K9:M9"/>
    <mergeCell ref="A39:B39"/>
    <mergeCell ref="A40:B40"/>
    <mergeCell ref="A42:B42"/>
    <mergeCell ref="A43:B43"/>
    <mergeCell ref="H3:J3"/>
    <mergeCell ref="K3:M3"/>
    <mergeCell ref="K6:M6"/>
    <mergeCell ref="K7:M7"/>
    <mergeCell ref="K8:M8"/>
    <mergeCell ref="G52:H52"/>
    <mergeCell ref="G51:H51"/>
    <mergeCell ref="H39:I39"/>
    <mergeCell ref="H40:I40"/>
    <mergeCell ref="H42:I42"/>
    <mergeCell ref="H43:I43"/>
    <mergeCell ref="H44:I44"/>
    <mergeCell ref="H45:I45"/>
  </mergeCells>
  <dataValidations count="2">
    <dataValidation type="list" allowBlank="1" showInputMessage="1" showErrorMessage="1" sqref="D3:F3 IS3:IU3 SO3:SQ3 ACK3:ACM3 AMG3:AMI3 AWC3:AWE3 BFY3:BGA3 BPU3:BPW3 BZQ3:BZS3 CJM3:CJO3 CTI3:CTK3 DDE3:DDG3 DNA3:DNC3 DWW3:DWY3 EGS3:EGU3 EQO3:EQQ3 FAK3:FAM3 FKG3:FKI3 FUC3:FUE3 GDY3:GEA3 GNU3:GNW3 GXQ3:GXS3 HHM3:HHO3 HRI3:HRK3 IBE3:IBG3 ILA3:ILC3 IUW3:IUY3 JES3:JEU3 JOO3:JOQ3 JYK3:JYM3 KIG3:KII3 KSC3:KSE3 LBY3:LCA3 LLU3:LLW3 LVQ3:LVS3 MFM3:MFO3 MPI3:MPK3 MZE3:MZG3 NJA3:NJC3 NSW3:NSY3 OCS3:OCU3 OMO3:OMQ3 OWK3:OWM3 PGG3:PGI3 PQC3:PQE3 PZY3:QAA3 QJU3:QJW3 QTQ3:QTS3 RDM3:RDO3 RNI3:RNK3 RXE3:RXG3 SHA3:SHC3 SQW3:SQY3 TAS3:TAU3 TKO3:TKQ3 TUK3:TUM3 UEG3:UEI3 UOC3:UOE3 UXY3:UYA3 VHU3:VHW3 VRQ3:VRS3 WBM3:WBO3 WLI3:WLK3 WVE3:WVG3 D65539:F65539 IS65539:IU65539 SO65539:SQ65539 ACK65539:ACM65539 AMG65539:AMI65539 AWC65539:AWE65539 BFY65539:BGA65539 BPU65539:BPW65539 BZQ65539:BZS65539 CJM65539:CJO65539 CTI65539:CTK65539 DDE65539:DDG65539 DNA65539:DNC65539 DWW65539:DWY65539 EGS65539:EGU65539 EQO65539:EQQ65539 FAK65539:FAM65539 FKG65539:FKI65539 FUC65539:FUE65539 GDY65539:GEA65539 GNU65539:GNW65539 GXQ65539:GXS65539 HHM65539:HHO65539 HRI65539:HRK65539 IBE65539:IBG65539 ILA65539:ILC65539 IUW65539:IUY65539 JES65539:JEU65539 JOO65539:JOQ65539 JYK65539:JYM65539 KIG65539:KII65539 KSC65539:KSE65539 LBY65539:LCA65539 LLU65539:LLW65539 LVQ65539:LVS65539 MFM65539:MFO65539 MPI65539:MPK65539 MZE65539:MZG65539 NJA65539:NJC65539 NSW65539:NSY65539 OCS65539:OCU65539 OMO65539:OMQ65539 OWK65539:OWM65539 PGG65539:PGI65539 PQC65539:PQE65539 PZY65539:QAA65539 QJU65539:QJW65539 QTQ65539:QTS65539 RDM65539:RDO65539 RNI65539:RNK65539 RXE65539:RXG65539 SHA65539:SHC65539 SQW65539:SQY65539 TAS65539:TAU65539 TKO65539:TKQ65539 TUK65539:TUM65539 UEG65539:UEI65539 UOC65539:UOE65539 UXY65539:UYA65539 VHU65539:VHW65539 VRQ65539:VRS65539 WBM65539:WBO65539 WLI65539:WLK65539 WVE65539:WVG65539 D131075:F131075 IS131075:IU131075 SO131075:SQ131075 ACK131075:ACM131075 AMG131075:AMI131075 AWC131075:AWE131075 BFY131075:BGA131075 BPU131075:BPW131075 BZQ131075:BZS131075 CJM131075:CJO131075 CTI131075:CTK131075 DDE131075:DDG131075 DNA131075:DNC131075 DWW131075:DWY131075 EGS131075:EGU131075 EQO131075:EQQ131075 FAK131075:FAM131075 FKG131075:FKI131075 FUC131075:FUE131075 GDY131075:GEA131075 GNU131075:GNW131075 GXQ131075:GXS131075 HHM131075:HHO131075 HRI131075:HRK131075 IBE131075:IBG131075 ILA131075:ILC131075 IUW131075:IUY131075 JES131075:JEU131075 JOO131075:JOQ131075 JYK131075:JYM131075 KIG131075:KII131075 KSC131075:KSE131075 LBY131075:LCA131075 LLU131075:LLW131075 LVQ131075:LVS131075 MFM131075:MFO131075 MPI131075:MPK131075 MZE131075:MZG131075 NJA131075:NJC131075 NSW131075:NSY131075 OCS131075:OCU131075 OMO131075:OMQ131075 OWK131075:OWM131075 PGG131075:PGI131075 PQC131075:PQE131075 PZY131075:QAA131075 QJU131075:QJW131075 QTQ131075:QTS131075 RDM131075:RDO131075 RNI131075:RNK131075 RXE131075:RXG131075 SHA131075:SHC131075 SQW131075:SQY131075 TAS131075:TAU131075 TKO131075:TKQ131075 TUK131075:TUM131075 UEG131075:UEI131075 UOC131075:UOE131075 UXY131075:UYA131075 VHU131075:VHW131075 VRQ131075:VRS131075 WBM131075:WBO131075 WLI131075:WLK131075 WVE131075:WVG131075 D196611:F196611 IS196611:IU196611 SO196611:SQ196611 ACK196611:ACM196611 AMG196611:AMI196611 AWC196611:AWE196611 BFY196611:BGA196611 BPU196611:BPW196611 BZQ196611:BZS196611 CJM196611:CJO196611 CTI196611:CTK196611 DDE196611:DDG196611 DNA196611:DNC196611 DWW196611:DWY196611 EGS196611:EGU196611 EQO196611:EQQ196611 FAK196611:FAM196611 FKG196611:FKI196611 FUC196611:FUE196611 GDY196611:GEA196611 GNU196611:GNW196611 GXQ196611:GXS196611 HHM196611:HHO196611 HRI196611:HRK196611 IBE196611:IBG196611 ILA196611:ILC196611 IUW196611:IUY196611 JES196611:JEU196611 JOO196611:JOQ196611 JYK196611:JYM196611 KIG196611:KII196611 KSC196611:KSE196611 LBY196611:LCA196611 LLU196611:LLW196611 LVQ196611:LVS196611 MFM196611:MFO196611 MPI196611:MPK196611 MZE196611:MZG196611 NJA196611:NJC196611 NSW196611:NSY196611 OCS196611:OCU196611 OMO196611:OMQ196611 OWK196611:OWM196611 PGG196611:PGI196611 PQC196611:PQE196611 PZY196611:QAA196611 QJU196611:QJW196611 QTQ196611:QTS196611 RDM196611:RDO196611 RNI196611:RNK196611 RXE196611:RXG196611 SHA196611:SHC196611 SQW196611:SQY196611 TAS196611:TAU196611 TKO196611:TKQ196611 TUK196611:TUM196611 UEG196611:UEI196611 UOC196611:UOE196611 UXY196611:UYA196611 VHU196611:VHW196611 VRQ196611:VRS196611 WBM196611:WBO196611 WLI196611:WLK196611 WVE196611:WVG196611 D262147:F262147 IS262147:IU262147 SO262147:SQ262147 ACK262147:ACM262147 AMG262147:AMI262147 AWC262147:AWE262147 BFY262147:BGA262147 BPU262147:BPW262147 BZQ262147:BZS262147 CJM262147:CJO262147 CTI262147:CTK262147 DDE262147:DDG262147 DNA262147:DNC262147 DWW262147:DWY262147 EGS262147:EGU262147 EQO262147:EQQ262147 FAK262147:FAM262147 FKG262147:FKI262147 FUC262147:FUE262147 GDY262147:GEA262147 GNU262147:GNW262147 GXQ262147:GXS262147 HHM262147:HHO262147 HRI262147:HRK262147 IBE262147:IBG262147 ILA262147:ILC262147 IUW262147:IUY262147 JES262147:JEU262147 JOO262147:JOQ262147 JYK262147:JYM262147 KIG262147:KII262147 KSC262147:KSE262147 LBY262147:LCA262147 LLU262147:LLW262147 LVQ262147:LVS262147 MFM262147:MFO262147 MPI262147:MPK262147 MZE262147:MZG262147 NJA262147:NJC262147 NSW262147:NSY262147 OCS262147:OCU262147 OMO262147:OMQ262147 OWK262147:OWM262147 PGG262147:PGI262147 PQC262147:PQE262147 PZY262147:QAA262147 QJU262147:QJW262147 QTQ262147:QTS262147 RDM262147:RDO262147 RNI262147:RNK262147 RXE262147:RXG262147 SHA262147:SHC262147 SQW262147:SQY262147 TAS262147:TAU262147 TKO262147:TKQ262147 TUK262147:TUM262147 UEG262147:UEI262147 UOC262147:UOE262147 UXY262147:UYA262147 VHU262147:VHW262147 VRQ262147:VRS262147 WBM262147:WBO262147 WLI262147:WLK262147 WVE262147:WVG262147 D327683:F327683 IS327683:IU327683 SO327683:SQ327683 ACK327683:ACM327683 AMG327683:AMI327683 AWC327683:AWE327683 BFY327683:BGA327683 BPU327683:BPW327683 BZQ327683:BZS327683 CJM327683:CJO327683 CTI327683:CTK327683 DDE327683:DDG327683 DNA327683:DNC327683 DWW327683:DWY327683 EGS327683:EGU327683 EQO327683:EQQ327683 FAK327683:FAM327683 FKG327683:FKI327683 FUC327683:FUE327683 GDY327683:GEA327683 GNU327683:GNW327683 GXQ327683:GXS327683 HHM327683:HHO327683 HRI327683:HRK327683 IBE327683:IBG327683 ILA327683:ILC327683 IUW327683:IUY327683 JES327683:JEU327683 JOO327683:JOQ327683 JYK327683:JYM327683 KIG327683:KII327683 KSC327683:KSE327683 LBY327683:LCA327683 LLU327683:LLW327683 LVQ327683:LVS327683 MFM327683:MFO327683 MPI327683:MPK327683 MZE327683:MZG327683 NJA327683:NJC327683 NSW327683:NSY327683 OCS327683:OCU327683 OMO327683:OMQ327683 OWK327683:OWM327683 PGG327683:PGI327683 PQC327683:PQE327683 PZY327683:QAA327683 QJU327683:QJW327683 QTQ327683:QTS327683 RDM327683:RDO327683 RNI327683:RNK327683 RXE327683:RXG327683 SHA327683:SHC327683 SQW327683:SQY327683 TAS327683:TAU327683 TKO327683:TKQ327683 TUK327683:TUM327683 UEG327683:UEI327683 UOC327683:UOE327683 UXY327683:UYA327683 VHU327683:VHW327683 VRQ327683:VRS327683 WBM327683:WBO327683 WLI327683:WLK327683 WVE327683:WVG327683 D393219:F393219 IS393219:IU393219 SO393219:SQ393219 ACK393219:ACM393219 AMG393219:AMI393219 AWC393219:AWE393219 BFY393219:BGA393219 BPU393219:BPW393219 BZQ393219:BZS393219 CJM393219:CJO393219 CTI393219:CTK393219 DDE393219:DDG393219 DNA393219:DNC393219 DWW393219:DWY393219 EGS393219:EGU393219 EQO393219:EQQ393219 FAK393219:FAM393219 FKG393219:FKI393219 FUC393219:FUE393219 GDY393219:GEA393219 GNU393219:GNW393219 GXQ393219:GXS393219 HHM393219:HHO393219 HRI393219:HRK393219 IBE393219:IBG393219 ILA393219:ILC393219 IUW393219:IUY393219 JES393219:JEU393219 JOO393219:JOQ393219 JYK393219:JYM393219 KIG393219:KII393219 KSC393219:KSE393219 LBY393219:LCA393219 LLU393219:LLW393219 LVQ393219:LVS393219 MFM393219:MFO393219 MPI393219:MPK393219 MZE393219:MZG393219 NJA393219:NJC393219 NSW393219:NSY393219 OCS393219:OCU393219 OMO393219:OMQ393219 OWK393219:OWM393219 PGG393219:PGI393219 PQC393219:PQE393219 PZY393219:QAA393219 QJU393219:QJW393219 QTQ393219:QTS393219 RDM393219:RDO393219 RNI393219:RNK393219 RXE393219:RXG393219 SHA393219:SHC393219 SQW393219:SQY393219 TAS393219:TAU393219 TKO393219:TKQ393219 TUK393219:TUM393219 UEG393219:UEI393219 UOC393219:UOE393219 UXY393219:UYA393219 VHU393219:VHW393219 VRQ393219:VRS393219 WBM393219:WBO393219 WLI393219:WLK393219 WVE393219:WVG393219 D458755:F458755 IS458755:IU458755 SO458755:SQ458755 ACK458755:ACM458755 AMG458755:AMI458755 AWC458755:AWE458755 BFY458755:BGA458755 BPU458755:BPW458755 BZQ458755:BZS458755 CJM458755:CJO458755 CTI458755:CTK458755 DDE458755:DDG458755 DNA458755:DNC458755 DWW458755:DWY458755 EGS458755:EGU458755 EQO458755:EQQ458755 FAK458755:FAM458755 FKG458755:FKI458755 FUC458755:FUE458755 GDY458755:GEA458755 GNU458755:GNW458755 GXQ458755:GXS458755 HHM458755:HHO458755 HRI458755:HRK458755 IBE458755:IBG458755 ILA458755:ILC458755 IUW458755:IUY458755 JES458755:JEU458755 JOO458755:JOQ458755 JYK458755:JYM458755 KIG458755:KII458755 KSC458755:KSE458755 LBY458755:LCA458755 LLU458755:LLW458755 LVQ458755:LVS458755 MFM458755:MFO458755 MPI458755:MPK458755 MZE458755:MZG458755 NJA458755:NJC458755 NSW458755:NSY458755 OCS458755:OCU458755 OMO458755:OMQ458755 OWK458755:OWM458755 PGG458755:PGI458755 PQC458755:PQE458755 PZY458755:QAA458755 QJU458755:QJW458755 QTQ458755:QTS458755 RDM458755:RDO458755 RNI458755:RNK458755 RXE458755:RXG458755 SHA458755:SHC458755 SQW458755:SQY458755 TAS458755:TAU458755 TKO458755:TKQ458755 TUK458755:TUM458755 UEG458755:UEI458755 UOC458755:UOE458755 UXY458755:UYA458755 VHU458755:VHW458755 VRQ458755:VRS458755 WBM458755:WBO458755 WLI458755:WLK458755 WVE458755:WVG458755 D524291:F524291 IS524291:IU524291 SO524291:SQ524291 ACK524291:ACM524291 AMG524291:AMI524291 AWC524291:AWE524291 BFY524291:BGA524291 BPU524291:BPW524291 BZQ524291:BZS524291 CJM524291:CJO524291 CTI524291:CTK524291 DDE524291:DDG524291 DNA524291:DNC524291 DWW524291:DWY524291 EGS524291:EGU524291 EQO524291:EQQ524291 FAK524291:FAM524291 FKG524291:FKI524291 FUC524291:FUE524291 GDY524291:GEA524291 GNU524291:GNW524291 GXQ524291:GXS524291 HHM524291:HHO524291 HRI524291:HRK524291 IBE524291:IBG524291 ILA524291:ILC524291 IUW524291:IUY524291 JES524291:JEU524291 JOO524291:JOQ524291 JYK524291:JYM524291 KIG524291:KII524291 KSC524291:KSE524291 LBY524291:LCA524291 LLU524291:LLW524291 LVQ524291:LVS524291 MFM524291:MFO524291 MPI524291:MPK524291 MZE524291:MZG524291 NJA524291:NJC524291 NSW524291:NSY524291 OCS524291:OCU524291 OMO524291:OMQ524291 OWK524291:OWM524291 PGG524291:PGI524291 PQC524291:PQE524291 PZY524291:QAA524291 QJU524291:QJW524291 QTQ524291:QTS524291 RDM524291:RDO524291 RNI524291:RNK524291 RXE524291:RXG524291 SHA524291:SHC524291 SQW524291:SQY524291 TAS524291:TAU524291 TKO524291:TKQ524291 TUK524291:TUM524291 UEG524291:UEI524291 UOC524291:UOE524291 UXY524291:UYA524291 VHU524291:VHW524291 VRQ524291:VRS524291 WBM524291:WBO524291 WLI524291:WLK524291 WVE524291:WVG524291 D589827:F589827 IS589827:IU589827 SO589827:SQ589827 ACK589827:ACM589827 AMG589827:AMI589827 AWC589827:AWE589827 BFY589827:BGA589827 BPU589827:BPW589827 BZQ589827:BZS589827 CJM589827:CJO589827 CTI589827:CTK589827 DDE589827:DDG589827 DNA589827:DNC589827 DWW589827:DWY589827 EGS589827:EGU589827 EQO589827:EQQ589827 FAK589827:FAM589827 FKG589827:FKI589827 FUC589827:FUE589827 GDY589827:GEA589827 GNU589827:GNW589827 GXQ589827:GXS589827 HHM589827:HHO589827 HRI589827:HRK589827 IBE589827:IBG589827 ILA589827:ILC589827 IUW589827:IUY589827 JES589827:JEU589827 JOO589827:JOQ589827 JYK589827:JYM589827 KIG589827:KII589827 KSC589827:KSE589827 LBY589827:LCA589827 LLU589827:LLW589827 LVQ589827:LVS589827 MFM589827:MFO589827 MPI589827:MPK589827 MZE589827:MZG589827 NJA589827:NJC589827 NSW589827:NSY589827 OCS589827:OCU589827 OMO589827:OMQ589827 OWK589827:OWM589827 PGG589827:PGI589827 PQC589827:PQE589827 PZY589827:QAA589827 QJU589827:QJW589827 QTQ589827:QTS589827 RDM589827:RDO589827 RNI589827:RNK589827 RXE589827:RXG589827 SHA589827:SHC589827 SQW589827:SQY589827 TAS589827:TAU589827 TKO589827:TKQ589827 TUK589827:TUM589827 UEG589827:UEI589827 UOC589827:UOE589827 UXY589827:UYA589827 VHU589827:VHW589827 VRQ589827:VRS589827 WBM589827:WBO589827 WLI589827:WLK589827 WVE589827:WVG589827 D655363:F655363 IS655363:IU655363 SO655363:SQ655363 ACK655363:ACM655363 AMG655363:AMI655363 AWC655363:AWE655363 BFY655363:BGA655363 BPU655363:BPW655363 BZQ655363:BZS655363 CJM655363:CJO655363 CTI655363:CTK655363 DDE655363:DDG655363 DNA655363:DNC655363 DWW655363:DWY655363 EGS655363:EGU655363 EQO655363:EQQ655363 FAK655363:FAM655363 FKG655363:FKI655363 FUC655363:FUE655363 GDY655363:GEA655363 GNU655363:GNW655363 GXQ655363:GXS655363 HHM655363:HHO655363 HRI655363:HRK655363 IBE655363:IBG655363 ILA655363:ILC655363 IUW655363:IUY655363 JES655363:JEU655363 JOO655363:JOQ655363 JYK655363:JYM655363 KIG655363:KII655363 KSC655363:KSE655363 LBY655363:LCA655363 LLU655363:LLW655363 LVQ655363:LVS655363 MFM655363:MFO655363 MPI655363:MPK655363 MZE655363:MZG655363 NJA655363:NJC655363 NSW655363:NSY655363 OCS655363:OCU655363 OMO655363:OMQ655363 OWK655363:OWM655363 PGG655363:PGI655363 PQC655363:PQE655363 PZY655363:QAA655363 QJU655363:QJW655363 QTQ655363:QTS655363 RDM655363:RDO655363 RNI655363:RNK655363 RXE655363:RXG655363 SHA655363:SHC655363 SQW655363:SQY655363 TAS655363:TAU655363 TKO655363:TKQ655363 TUK655363:TUM655363 UEG655363:UEI655363 UOC655363:UOE655363 UXY655363:UYA655363 VHU655363:VHW655363 VRQ655363:VRS655363 WBM655363:WBO655363 WLI655363:WLK655363 WVE655363:WVG655363 D720899:F720899 IS720899:IU720899 SO720899:SQ720899 ACK720899:ACM720899 AMG720899:AMI720899 AWC720899:AWE720899 BFY720899:BGA720899 BPU720899:BPW720899 BZQ720899:BZS720899 CJM720899:CJO720899 CTI720899:CTK720899 DDE720899:DDG720899 DNA720899:DNC720899 DWW720899:DWY720899 EGS720899:EGU720899 EQO720899:EQQ720899 FAK720899:FAM720899 FKG720899:FKI720899 FUC720899:FUE720899 GDY720899:GEA720899 GNU720899:GNW720899 GXQ720899:GXS720899 HHM720899:HHO720899 HRI720899:HRK720899 IBE720899:IBG720899 ILA720899:ILC720899 IUW720899:IUY720899 JES720899:JEU720899 JOO720899:JOQ720899 JYK720899:JYM720899 KIG720899:KII720899 KSC720899:KSE720899 LBY720899:LCA720899 LLU720899:LLW720899 LVQ720899:LVS720899 MFM720899:MFO720899 MPI720899:MPK720899 MZE720899:MZG720899 NJA720899:NJC720899 NSW720899:NSY720899 OCS720899:OCU720899 OMO720899:OMQ720899 OWK720899:OWM720899 PGG720899:PGI720899 PQC720899:PQE720899 PZY720899:QAA720899 QJU720899:QJW720899 QTQ720899:QTS720899 RDM720899:RDO720899 RNI720899:RNK720899 RXE720899:RXG720899 SHA720899:SHC720899 SQW720899:SQY720899 TAS720899:TAU720899 TKO720899:TKQ720899 TUK720899:TUM720899 UEG720899:UEI720899 UOC720899:UOE720899 UXY720899:UYA720899 VHU720899:VHW720899 VRQ720899:VRS720899 WBM720899:WBO720899 WLI720899:WLK720899 WVE720899:WVG720899 D786435:F786435 IS786435:IU786435 SO786435:SQ786435 ACK786435:ACM786435 AMG786435:AMI786435 AWC786435:AWE786435 BFY786435:BGA786435 BPU786435:BPW786435 BZQ786435:BZS786435 CJM786435:CJO786435 CTI786435:CTK786435 DDE786435:DDG786435 DNA786435:DNC786435 DWW786435:DWY786435 EGS786435:EGU786435 EQO786435:EQQ786435 FAK786435:FAM786435 FKG786435:FKI786435 FUC786435:FUE786435 GDY786435:GEA786435 GNU786435:GNW786435 GXQ786435:GXS786435 HHM786435:HHO786435 HRI786435:HRK786435 IBE786435:IBG786435 ILA786435:ILC786435 IUW786435:IUY786435 JES786435:JEU786435 JOO786435:JOQ786435 JYK786435:JYM786435 KIG786435:KII786435 KSC786435:KSE786435 LBY786435:LCA786435 LLU786435:LLW786435 LVQ786435:LVS786435 MFM786435:MFO786435 MPI786435:MPK786435 MZE786435:MZG786435 NJA786435:NJC786435 NSW786435:NSY786435 OCS786435:OCU786435 OMO786435:OMQ786435 OWK786435:OWM786435 PGG786435:PGI786435 PQC786435:PQE786435 PZY786435:QAA786435 QJU786435:QJW786435 QTQ786435:QTS786435 RDM786435:RDO786435 RNI786435:RNK786435 RXE786435:RXG786435 SHA786435:SHC786435 SQW786435:SQY786435 TAS786435:TAU786435 TKO786435:TKQ786435 TUK786435:TUM786435 UEG786435:UEI786435 UOC786435:UOE786435 UXY786435:UYA786435 VHU786435:VHW786435 VRQ786435:VRS786435 WBM786435:WBO786435 WLI786435:WLK786435 WVE786435:WVG786435 D851971:F851971 IS851971:IU851971 SO851971:SQ851971 ACK851971:ACM851971 AMG851971:AMI851971 AWC851971:AWE851971 BFY851971:BGA851971 BPU851971:BPW851971 BZQ851971:BZS851971 CJM851971:CJO851971 CTI851971:CTK851971 DDE851971:DDG851971 DNA851971:DNC851971 DWW851971:DWY851971 EGS851971:EGU851971 EQO851971:EQQ851971 FAK851971:FAM851971 FKG851971:FKI851971 FUC851971:FUE851971 GDY851971:GEA851971 GNU851971:GNW851971 GXQ851971:GXS851971 HHM851971:HHO851971 HRI851971:HRK851971 IBE851971:IBG851971 ILA851971:ILC851971 IUW851971:IUY851971 JES851971:JEU851971 JOO851971:JOQ851971 JYK851971:JYM851971 KIG851971:KII851971 KSC851971:KSE851971 LBY851971:LCA851971 LLU851971:LLW851971 LVQ851971:LVS851971 MFM851971:MFO851971 MPI851971:MPK851971 MZE851971:MZG851971 NJA851971:NJC851971 NSW851971:NSY851971 OCS851971:OCU851971 OMO851971:OMQ851971 OWK851971:OWM851971 PGG851971:PGI851971 PQC851971:PQE851971 PZY851971:QAA851971 QJU851971:QJW851971 QTQ851971:QTS851971 RDM851971:RDO851971 RNI851971:RNK851971 RXE851971:RXG851971 SHA851971:SHC851971 SQW851971:SQY851971 TAS851971:TAU851971 TKO851971:TKQ851971 TUK851971:TUM851971 UEG851971:UEI851971 UOC851971:UOE851971 UXY851971:UYA851971 VHU851971:VHW851971 VRQ851971:VRS851971 WBM851971:WBO851971 WLI851971:WLK851971 WVE851971:WVG851971 D917507:F917507 IS917507:IU917507 SO917507:SQ917507 ACK917507:ACM917507 AMG917507:AMI917507 AWC917507:AWE917507 BFY917507:BGA917507 BPU917507:BPW917507 BZQ917507:BZS917507 CJM917507:CJO917507 CTI917507:CTK917507 DDE917507:DDG917507 DNA917507:DNC917507 DWW917507:DWY917507 EGS917507:EGU917507 EQO917507:EQQ917507 FAK917507:FAM917507 FKG917507:FKI917507 FUC917507:FUE917507 GDY917507:GEA917507 GNU917507:GNW917507 GXQ917507:GXS917507 HHM917507:HHO917507 HRI917507:HRK917507 IBE917507:IBG917507 ILA917507:ILC917507 IUW917507:IUY917507 JES917507:JEU917507 JOO917507:JOQ917507 JYK917507:JYM917507 KIG917507:KII917507 KSC917507:KSE917507 LBY917507:LCA917507 LLU917507:LLW917507 LVQ917507:LVS917507 MFM917507:MFO917507 MPI917507:MPK917507 MZE917507:MZG917507 NJA917507:NJC917507 NSW917507:NSY917507 OCS917507:OCU917507 OMO917507:OMQ917507 OWK917507:OWM917507 PGG917507:PGI917507 PQC917507:PQE917507 PZY917507:QAA917507 QJU917507:QJW917507 QTQ917507:QTS917507 RDM917507:RDO917507 RNI917507:RNK917507 RXE917507:RXG917507 SHA917507:SHC917507 SQW917507:SQY917507 TAS917507:TAU917507 TKO917507:TKQ917507 TUK917507:TUM917507 UEG917507:UEI917507 UOC917507:UOE917507 UXY917507:UYA917507 VHU917507:VHW917507 VRQ917507:VRS917507 WBM917507:WBO917507 WLI917507:WLK917507 WVE917507:WVG917507 D983043:F983043 IS983043:IU983043 SO983043:SQ983043 ACK983043:ACM983043 AMG983043:AMI983043 AWC983043:AWE983043 BFY983043:BGA983043 BPU983043:BPW983043 BZQ983043:BZS983043 CJM983043:CJO983043 CTI983043:CTK983043 DDE983043:DDG983043 DNA983043:DNC983043 DWW983043:DWY983043 EGS983043:EGU983043 EQO983043:EQQ983043 FAK983043:FAM983043 FKG983043:FKI983043 FUC983043:FUE983043 GDY983043:GEA983043 GNU983043:GNW983043 GXQ983043:GXS983043 HHM983043:HHO983043 HRI983043:HRK983043 IBE983043:IBG983043 ILA983043:ILC983043 IUW983043:IUY983043 JES983043:JEU983043 JOO983043:JOQ983043 JYK983043:JYM983043 KIG983043:KII983043 KSC983043:KSE983043 LBY983043:LCA983043 LLU983043:LLW983043 LVQ983043:LVS983043 MFM983043:MFO983043 MPI983043:MPK983043 MZE983043:MZG983043 NJA983043:NJC983043 NSW983043:NSY983043 OCS983043:OCU983043 OMO983043:OMQ983043 OWK983043:OWM983043 PGG983043:PGI983043 PQC983043:PQE983043 PZY983043:QAA983043 QJU983043:QJW983043 QTQ983043:QTS983043 RDM983043:RDO983043 RNI983043:RNK983043 RXE983043:RXG983043 SHA983043:SHC983043 SQW983043:SQY983043 TAS983043:TAU983043 TKO983043:TKQ983043 TUK983043:TUM983043 UEG983043:UEI983043 UOC983043:UOE983043 UXY983043:UYA983043 VHU983043:VHW983043 VRQ983043:VRS983043 WBM983043:WBO983043 WLI983043:WLK983043 WVE983043:WVG983043 K3:M3" xr:uid="{561A8279-D700-4116-B8B1-A4A27F669855}">
      <formula1>"PIG, VEAL, BEEF, LAMB, POULTRY"</formula1>
    </dataValidation>
    <dataValidation type="decimal" operator="greaterThanOrEqual" allowBlank="1" showInputMessage="1" showErrorMessage="1" error="Only numbers" sqref="D6:F9 C9 K6:M9 J9 C13:D15 E16 J13:K15 L16 C18 E19 J18 L19 B25:D26 J40 I25:K26 C27:D27 C40 J27:K27" xr:uid="{4D69FAC2-DD90-482A-8EC9-17B66ED9BBAC}">
      <formula1>0</formula1>
    </dataValidation>
  </dataValidations>
  <hyperlinks>
    <hyperlink ref="F54" location="'Revenue Streams'!A1" display="Back Revenue Streams" xr:uid="{AC77FCD8-1DA1-4798-8040-287709AD4D84}"/>
  </hyperlinks>
  <pageMargins left="0.75" right="0.75" top="1" bottom="1" header="0.5" footer="0.5"/>
  <pageSetup scale="57" orientation="landscape" horizontalDpi="300" verticalDpi="300" r:id="rId1"/>
  <headerFooter alignWithMargins="0"/>
  <colBreaks count="1" manualBreakCount="1">
    <brk id="13" max="1048575" man="1"/>
  </col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C3280-BB7B-412D-BE6D-32526E6C73CC}">
  <sheetPr codeName="Sheet17">
    <pageSetUpPr fitToPage="1"/>
  </sheetPr>
  <dimension ref="A1:Y34"/>
  <sheetViews>
    <sheetView zoomScaleNormal="100" workbookViewId="0">
      <selection activeCell="L33" sqref="L33"/>
    </sheetView>
  </sheetViews>
  <sheetFormatPr defaultColWidth="9" defaultRowHeight="15"/>
  <cols>
    <col min="1" max="5" width="9" style="199"/>
    <col min="6" max="6" width="17.25" style="199" customWidth="1"/>
    <col min="7" max="11" width="9" style="199"/>
    <col min="12" max="12" width="5.375" style="199" customWidth="1"/>
    <col min="13" max="13" width="13.375" style="199" customWidth="1"/>
    <col min="14" max="14" width="10.375" style="199" customWidth="1"/>
    <col min="15" max="15" width="14.25" style="199" bestFit="1" customWidth="1"/>
    <col min="16" max="16" width="9" style="199" customWidth="1"/>
    <col min="17" max="17" width="14.25" style="199" bestFit="1" customWidth="1"/>
    <col min="18" max="18" width="11.625" style="199" customWidth="1"/>
    <col min="19" max="19" width="4.125" style="199" customWidth="1"/>
    <col min="20" max="20" width="19.125" style="199" customWidth="1"/>
    <col min="21" max="21" width="9" style="199"/>
    <col min="22" max="22" width="11.375" style="199" customWidth="1"/>
    <col min="23" max="26" width="9" style="199"/>
    <col min="27" max="27" width="10.25" style="199" customWidth="1"/>
    <col min="28" max="16384" width="9" style="199"/>
  </cols>
  <sheetData>
    <row r="1" spans="1:13" ht="20.25">
      <c r="A1" s="302" t="s">
        <v>337</v>
      </c>
    </row>
    <row r="2" spans="1:13" ht="15.75">
      <c r="A2" s="303" t="s">
        <v>180</v>
      </c>
      <c r="J2" s="303"/>
      <c r="M2" s="303" t="s">
        <v>338</v>
      </c>
    </row>
    <row r="3" spans="1:13" ht="15.75">
      <c r="A3"/>
      <c r="G3"/>
    </row>
    <row r="15" spans="1:13" ht="18.75" customHeight="1"/>
    <row r="16" spans="1:13" ht="24" customHeight="1">
      <c r="A16" s="660" t="s">
        <v>183</v>
      </c>
      <c r="B16" s="661"/>
      <c r="C16" s="661"/>
      <c r="D16" s="661"/>
      <c r="E16" s="661"/>
      <c r="F16" s="661"/>
    </row>
    <row r="17" spans="1:25" ht="15.75" customHeight="1">
      <c r="A17" s="302"/>
    </row>
    <row r="18" spans="1:25" ht="15.75">
      <c r="A18" s="655" t="s">
        <v>339</v>
      </c>
      <c r="B18" s="649"/>
      <c r="C18" s="649"/>
      <c r="D18" s="649"/>
      <c r="E18" s="650"/>
      <c r="F18" s="409">
        <v>0</v>
      </c>
    </row>
    <row r="19" spans="1:25" ht="15.75" customHeight="1">
      <c r="A19" s="302"/>
    </row>
    <row r="20" spans="1:25" ht="31.5" customHeight="1">
      <c r="A20" s="303" t="s">
        <v>340</v>
      </c>
      <c r="F20" s="362" t="s">
        <v>187</v>
      </c>
      <c r="G20" s="658" t="s">
        <v>341</v>
      </c>
      <c r="H20" s="659"/>
    </row>
    <row r="21" spans="1:25" ht="30" customHeight="1">
      <c r="A21" s="648" t="s">
        <v>342</v>
      </c>
      <c r="B21" s="649"/>
      <c r="C21" s="649"/>
      <c r="D21" s="649"/>
      <c r="E21" s="650"/>
      <c r="F21" s="411">
        <v>0</v>
      </c>
      <c r="G21" s="651">
        <f>IF(F21=0,0,F21/$F$18)</f>
        <v>0</v>
      </c>
      <c r="H21" s="652"/>
    </row>
    <row r="22" spans="1:25" ht="30" customHeight="1">
      <c r="A22" s="648" t="s">
        <v>343</v>
      </c>
      <c r="B22" s="649"/>
      <c r="C22" s="649"/>
      <c r="D22" s="649"/>
      <c r="E22" s="650"/>
      <c r="F22" s="411">
        <v>0</v>
      </c>
      <c r="G22" s="651">
        <f t="shared" ref="G22:G27" si="0">IF(F22=0,0,F22/$F$18)</f>
        <v>0</v>
      </c>
      <c r="H22" s="652"/>
    </row>
    <row r="23" spans="1:25" ht="30" customHeight="1">
      <c r="A23" s="648" t="s">
        <v>344</v>
      </c>
      <c r="B23" s="649"/>
      <c r="C23" s="649"/>
      <c r="D23" s="649"/>
      <c r="E23" s="650"/>
      <c r="F23" s="411">
        <v>0</v>
      </c>
      <c r="G23" s="651">
        <f t="shared" si="0"/>
        <v>0</v>
      </c>
      <c r="H23" s="652"/>
    </row>
    <row r="24" spans="1:25" ht="30" customHeight="1">
      <c r="A24" s="648" t="s">
        <v>345</v>
      </c>
      <c r="B24" s="649"/>
      <c r="C24" s="649"/>
      <c r="D24" s="649"/>
      <c r="E24" s="650"/>
      <c r="F24" s="411">
        <v>0</v>
      </c>
      <c r="G24" s="651">
        <f t="shared" si="0"/>
        <v>0</v>
      </c>
      <c r="H24" s="652"/>
    </row>
    <row r="25" spans="1:25" ht="33.75" customHeight="1">
      <c r="A25" s="701" t="s">
        <v>242</v>
      </c>
      <c r="B25" s="702"/>
      <c r="C25" s="702"/>
      <c r="D25" s="702"/>
      <c r="E25" s="703"/>
      <c r="F25" s="415">
        <f>SUM(F21:F24)</f>
        <v>0</v>
      </c>
      <c r="G25" s="704">
        <f t="shared" si="0"/>
        <v>0</v>
      </c>
      <c r="H25" s="704"/>
    </row>
    <row r="26" spans="1:25" ht="33.75" customHeight="1">
      <c r="A26" s="705" t="s">
        <v>346</v>
      </c>
      <c r="B26" s="706"/>
      <c r="C26" s="706"/>
      <c r="D26" s="706"/>
      <c r="E26" s="363">
        <v>0</v>
      </c>
      <c r="F26" s="408">
        <f>F25*E26</f>
        <v>0</v>
      </c>
      <c r="G26" s="651">
        <f t="shared" si="0"/>
        <v>0</v>
      </c>
      <c r="H26" s="652"/>
    </row>
    <row r="27" spans="1:25" ht="33.75" customHeight="1">
      <c r="A27" s="701" t="s">
        <v>347</v>
      </c>
      <c r="B27" s="702"/>
      <c r="C27" s="702"/>
      <c r="D27" s="702"/>
      <c r="E27" s="703"/>
      <c r="F27" s="415">
        <f>SUM(F25:F26)</f>
        <v>0</v>
      </c>
      <c r="G27" s="704">
        <f t="shared" si="0"/>
        <v>0</v>
      </c>
      <c r="H27" s="704"/>
      <c r="N27" s="308" t="s">
        <v>348</v>
      </c>
      <c r="P27" s="308" t="s">
        <v>349</v>
      </c>
      <c r="Q27" s="410" t="s">
        <v>350</v>
      </c>
      <c r="R27" s="410" t="s">
        <v>351</v>
      </c>
      <c r="T27" s="410" t="s">
        <v>352</v>
      </c>
    </row>
    <row r="28" spans="1:25" ht="30.75">
      <c r="A28" s="303" t="s">
        <v>190</v>
      </c>
      <c r="F28" s="309"/>
      <c r="J28" s="310" t="s">
        <v>193</v>
      </c>
      <c r="K28" s="311"/>
      <c r="L28" s="311"/>
      <c r="M28" s="305" t="s">
        <v>353</v>
      </c>
      <c r="N28" s="313">
        <v>0</v>
      </c>
      <c r="O28" s="408">
        <f>$J$29*N28</f>
        <v>0</v>
      </c>
      <c r="P28" s="364">
        <v>0</v>
      </c>
      <c r="Q28" s="408">
        <f>O28*(100%+P28)</f>
        <v>0</v>
      </c>
      <c r="R28" s="313">
        <v>0</v>
      </c>
      <c r="S28" s="311"/>
      <c r="T28" s="408">
        <f>Q28*(100%-R28)</f>
        <v>0</v>
      </c>
      <c r="U28" s="311"/>
      <c r="V28" s="311"/>
      <c r="W28" s="310"/>
      <c r="X28" s="311"/>
      <c r="Y28" s="311"/>
    </row>
    <row r="29" spans="1:25" ht="34.5" customHeight="1">
      <c r="A29" s="648" t="s">
        <v>191</v>
      </c>
      <c r="B29" s="649"/>
      <c r="C29" s="649"/>
      <c r="D29" s="649"/>
      <c r="E29" s="650"/>
      <c r="F29" s="411">
        <v>0</v>
      </c>
      <c r="G29" s="651">
        <f>IF(F29=0,0,F29/$F$18)</f>
        <v>0</v>
      </c>
      <c r="H29" s="652"/>
      <c r="J29" s="651">
        <f>F27+F29+F31+F33</f>
        <v>0</v>
      </c>
      <c r="K29" s="652"/>
      <c r="L29" s="312" t="s">
        <v>198</v>
      </c>
      <c r="M29" s="365" t="s">
        <v>354</v>
      </c>
      <c r="N29" s="313">
        <v>0</v>
      </c>
      <c r="O29" s="408">
        <f t="shared" ref="O29:O30" si="1">$J$29*N29</f>
        <v>0</v>
      </c>
      <c r="P29" s="364">
        <v>0</v>
      </c>
      <c r="Q29" s="408">
        <f t="shared" ref="Q29:Q30" si="2">O29*(100%+P29)</f>
        <v>0</v>
      </c>
      <c r="R29" s="313">
        <v>0</v>
      </c>
      <c r="T29" s="408">
        <f t="shared" ref="T29:T30" si="3">Q29*(100%-R29)</f>
        <v>0</v>
      </c>
      <c r="U29" s="311"/>
      <c r="V29" s="311"/>
      <c r="W29" s="310"/>
      <c r="X29" s="311"/>
      <c r="Y29" s="311"/>
    </row>
    <row r="30" spans="1:25" ht="30">
      <c r="A30" s="303" t="s">
        <v>355</v>
      </c>
      <c r="F30" s="309"/>
      <c r="M30" s="365" t="s">
        <v>356</v>
      </c>
      <c r="N30" s="313">
        <v>0</v>
      </c>
      <c r="O30" s="408">
        <f t="shared" si="1"/>
        <v>0</v>
      </c>
      <c r="P30" s="364">
        <v>0</v>
      </c>
      <c r="Q30" s="408">
        <f t="shared" si="2"/>
        <v>0</v>
      </c>
      <c r="R30" s="313">
        <v>0</v>
      </c>
      <c r="T30" s="408">
        <f t="shared" si="3"/>
        <v>0</v>
      </c>
      <c r="U30" s="311"/>
      <c r="V30" s="311"/>
    </row>
    <row r="31" spans="1:25" ht="30.75" customHeight="1">
      <c r="A31" s="648" t="s">
        <v>357</v>
      </c>
      <c r="B31" s="649"/>
      <c r="C31" s="649"/>
      <c r="D31" s="649"/>
      <c r="E31" s="650"/>
      <c r="F31" s="411">
        <v>0</v>
      </c>
      <c r="G31" s="651">
        <f>IF(F31=0,0,F31/$F$18)</f>
        <v>0</v>
      </c>
      <c r="H31" s="652"/>
      <c r="R31" s="362" t="s">
        <v>204</v>
      </c>
      <c r="T31" s="366">
        <f>SUM(T28:T30)</f>
        <v>0</v>
      </c>
      <c r="U31" s="311"/>
    </row>
    <row r="32" spans="1:25" ht="31.5">
      <c r="A32" s="303" t="s">
        <v>203</v>
      </c>
      <c r="F32" s="309"/>
      <c r="R32" s="308" t="s">
        <v>358</v>
      </c>
      <c r="T32" s="366">
        <f>IF(ISERR(T31/F18),0,T31/F18)</f>
        <v>0</v>
      </c>
      <c r="U32" s="178"/>
      <c r="V32" s="311"/>
    </row>
    <row r="33" spans="1:20" ht="48.75" customHeight="1">
      <c r="A33" s="648" t="s">
        <v>205</v>
      </c>
      <c r="B33" s="649"/>
      <c r="C33" s="649"/>
      <c r="D33" s="649"/>
      <c r="E33" s="650"/>
      <c r="F33" s="411">
        <v>0</v>
      </c>
      <c r="G33" s="651">
        <f>IF(F33=0,0,F33/$F$18)</f>
        <v>0</v>
      </c>
      <c r="H33" s="652"/>
    </row>
    <row r="34" spans="1:20" ht="15.75">
      <c r="T34" s="382" t="s">
        <v>211</v>
      </c>
    </row>
  </sheetData>
  <sheetProtection sheet="1" objects="1" scenarios="1"/>
  <mergeCells count="24">
    <mergeCell ref="A16:F16"/>
    <mergeCell ref="A18:E18"/>
    <mergeCell ref="G20:H20"/>
    <mergeCell ref="A31:E31"/>
    <mergeCell ref="G31:H31"/>
    <mergeCell ref="A26:D26"/>
    <mergeCell ref="A29:E29"/>
    <mergeCell ref="G29:H29"/>
    <mergeCell ref="J29:K29"/>
    <mergeCell ref="A21:E21"/>
    <mergeCell ref="G21:H21"/>
    <mergeCell ref="A33:E33"/>
    <mergeCell ref="G33:H33"/>
    <mergeCell ref="A22:E22"/>
    <mergeCell ref="G22:H22"/>
    <mergeCell ref="A23:E23"/>
    <mergeCell ref="G23:H23"/>
    <mergeCell ref="A24:E24"/>
    <mergeCell ref="G24:H24"/>
    <mergeCell ref="A25:E25"/>
    <mergeCell ref="G25:H25"/>
    <mergeCell ref="G26:H26"/>
    <mergeCell ref="A27:E27"/>
    <mergeCell ref="G27:H27"/>
  </mergeCells>
  <dataValidations count="1">
    <dataValidation type="decimal" operator="greaterThanOrEqual" allowBlank="1" showInputMessage="1" showErrorMessage="1" error="Only numbers" sqref="F18 F21:F24 E26 F29 N28:N30 P28:P30 R28:R30 F31 F33" xr:uid="{AEFE2771-6781-43F3-8C18-774CB6AA0DBE}">
      <formula1>0</formula1>
    </dataValidation>
  </dataValidations>
  <hyperlinks>
    <hyperlink ref="T34" location="'Revenue Streams'!A1" display="Back Revenue Streams" xr:uid="{6ED7C843-82D3-4DC3-9D20-D8F40D43F5E6}"/>
  </hyperlinks>
  <pageMargins left="0.7" right="0.7" top="0.75" bottom="0.75" header="0.3" footer="0.3"/>
  <pageSetup scale="54" orientation="landscape"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BEFCE-FDF2-4575-91F4-AEDC7546C4F9}">
  <sheetPr codeName="Sheet24"/>
  <dimension ref="A1:H4"/>
  <sheetViews>
    <sheetView workbookViewId="0">
      <selection activeCell="J5" sqref="J5"/>
    </sheetView>
  </sheetViews>
  <sheetFormatPr defaultRowHeight="15.75"/>
  <cols>
    <col min="1" max="1" width="12" bestFit="1" customWidth="1"/>
    <col min="2" max="2" width="15" bestFit="1" customWidth="1"/>
    <col min="3" max="3" width="13.75" customWidth="1"/>
    <col min="4" max="4" width="16.25" customWidth="1"/>
    <col min="5" max="5" width="12.5" bestFit="1" customWidth="1"/>
  </cols>
  <sheetData>
    <row r="1" spans="1:8">
      <c r="B1" t="s">
        <v>19</v>
      </c>
      <c r="C1" t="s">
        <v>359</v>
      </c>
      <c r="D1" t="s">
        <v>174</v>
      </c>
      <c r="E1" t="s">
        <v>175</v>
      </c>
      <c r="F1" t="s">
        <v>177</v>
      </c>
      <c r="G1" t="s">
        <v>360</v>
      </c>
      <c r="H1" t="s">
        <v>361</v>
      </c>
    </row>
    <row r="2" spans="1:8">
      <c r="A2" t="s">
        <v>362</v>
      </c>
      <c r="B2">
        <f>'Product Pricing'!G23</f>
        <v>0</v>
      </c>
      <c r="C2">
        <f>Restaurant_Bar!F23</f>
        <v>0</v>
      </c>
      <c r="D2">
        <f>IF('Layer Production'!F60=0,0,('Layer Production'!F21+'Layer Production'!F40)/'Layer Production'!F60)</f>
        <v>0</v>
      </c>
      <c r="E2">
        <f>IF('Farming Crops'!D10=0,0,'Farming Crops'!E40/'Farming Crops'!D10)</f>
        <v>0</v>
      </c>
      <c r="F2">
        <f>Boutique!G27</f>
        <v>0</v>
      </c>
      <c r="G2">
        <f>IF(Livestock!D6=0,0,Livestock!F21/(Livestock!D6*Livestock!D36))</f>
        <v>1.7614814814814814</v>
      </c>
      <c r="H2">
        <f>SUM(B2:G2)</f>
        <v>1.7614814814814814</v>
      </c>
    </row>
    <row r="3" spans="1:8">
      <c r="A3" t="s">
        <v>363</v>
      </c>
      <c r="B3">
        <f>'Product Pricing'!G39</f>
        <v>0</v>
      </c>
      <c r="C3">
        <f>Restaurant_Bar!F36</f>
        <v>0</v>
      </c>
      <c r="E3">
        <f>IF('Farming Crops'!J10=0,0,'Farming Crops'!K40/'Farming Crops'!J10)</f>
        <v>0</v>
      </c>
      <c r="G3">
        <f>IF(Livestock!K6=0,0,Livestock!M21/(Livestock!K6*Livestock!K36))</f>
        <v>1.7614814814814814</v>
      </c>
      <c r="H3">
        <f t="shared" ref="H3:H4" si="0">SUM(B3:G3)</f>
        <v>1.7614814814814814</v>
      </c>
    </row>
    <row r="4" spans="1:8">
      <c r="A4" t="s">
        <v>364</v>
      </c>
      <c r="B4">
        <f>'Product Pricing'!G55</f>
        <v>0</v>
      </c>
      <c r="C4">
        <f>Restaurant_Bar!F49</f>
        <v>0</v>
      </c>
      <c r="E4">
        <f>IF('Farming Crops'!P10=0,0,'Farming Crops'!Q40/'Farming Crops'!P10)</f>
        <v>0</v>
      </c>
      <c r="H4">
        <f t="shared" si="0"/>
        <v>0</v>
      </c>
    </row>
  </sheetData>
  <phoneticPr fontId="69"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C3AD1-15BF-4DC5-A01E-BA312EF2BA2B}">
  <sheetPr codeName="Sheet22"/>
  <dimension ref="A2:O21"/>
  <sheetViews>
    <sheetView workbookViewId="0">
      <selection activeCell="A24" sqref="A24"/>
    </sheetView>
  </sheetViews>
  <sheetFormatPr defaultRowHeight="15.75"/>
  <cols>
    <col min="1" max="1" width="16.25" customWidth="1"/>
    <col min="2" max="2" width="16.75" bestFit="1" customWidth="1"/>
    <col min="3" max="3" width="12" bestFit="1" customWidth="1"/>
    <col min="4" max="4" width="11.625" bestFit="1" customWidth="1"/>
    <col min="7" max="7" width="14.5" bestFit="1" customWidth="1"/>
    <col min="8" max="8" width="12" bestFit="1" customWidth="1"/>
    <col min="9" max="9" width="11.625" bestFit="1" customWidth="1"/>
    <col min="12" max="12" width="14.5" bestFit="1" customWidth="1"/>
    <col min="13" max="13" width="12" bestFit="1" customWidth="1"/>
    <col min="14" max="14" width="11.625" bestFit="1" customWidth="1"/>
    <col min="17" max="17" width="14.5" bestFit="1" customWidth="1"/>
  </cols>
  <sheetData>
    <row r="2" spans="1:15">
      <c r="B2" t="s">
        <v>365</v>
      </c>
      <c r="C2" t="s">
        <v>366</v>
      </c>
      <c r="D2" t="s">
        <v>367</v>
      </c>
      <c r="E2" t="s">
        <v>274</v>
      </c>
      <c r="F2" t="s">
        <v>204</v>
      </c>
    </row>
    <row r="3" spans="1:15">
      <c r="A3" t="s">
        <v>179</v>
      </c>
      <c r="B3" s="389">
        <f>'Product Pricing'!F18</f>
        <v>0</v>
      </c>
      <c r="C3">
        <f>'Product Pricing'!J27</f>
        <v>0</v>
      </c>
      <c r="D3">
        <f>'Product Pricing'!X27</f>
        <v>0</v>
      </c>
      <c r="E3" s="389">
        <f>'Product Pricing'!F20</f>
        <v>0</v>
      </c>
      <c r="F3">
        <f>'Product Pricing'!X31</f>
        <v>0</v>
      </c>
    </row>
    <row r="4" spans="1:15">
      <c r="A4" t="s">
        <v>179</v>
      </c>
      <c r="B4" s="389">
        <f>'Product Pricing'!F34</f>
        <v>0</v>
      </c>
      <c r="C4">
        <f>'Product Pricing'!J43</f>
        <v>0</v>
      </c>
      <c r="D4">
        <f>'Product Pricing'!X43</f>
        <v>0</v>
      </c>
      <c r="E4" s="389">
        <f>'Product Pricing'!F36</f>
        <v>0</v>
      </c>
      <c r="F4">
        <f>'Product Pricing'!X47</f>
        <v>0</v>
      </c>
      <c r="G4" s="389"/>
      <c r="J4" s="389"/>
      <c r="L4" s="389"/>
      <c r="O4" s="389"/>
    </row>
    <row r="5" spans="1:15">
      <c r="A5" t="s">
        <v>179</v>
      </c>
      <c r="B5" s="389">
        <f>'Product Pricing'!F50</f>
        <v>0</v>
      </c>
      <c r="C5">
        <f>'Product Pricing'!J59</f>
        <v>0</v>
      </c>
      <c r="D5">
        <f>'Product Pricing'!X59</f>
        <v>0</v>
      </c>
      <c r="E5" s="389">
        <f>'Product Pricing'!F52</f>
        <v>0</v>
      </c>
      <c r="F5">
        <f>'Product Pricing'!X63</f>
        <v>0</v>
      </c>
      <c r="G5" s="389"/>
      <c r="J5" s="389"/>
      <c r="L5" s="389"/>
      <c r="O5" s="389"/>
    </row>
    <row r="6" spans="1:15">
      <c r="A6" t="s">
        <v>177</v>
      </c>
      <c r="B6" t="str">
        <f>Boutique!M28</f>
        <v>High-end items</v>
      </c>
      <c r="C6">
        <f>IF(ISERR(Boutique!O28/(Boutique!$F$18*Boutique!N28)),0,Boutique!O28/(Boutique!$F$18*Boutique!N28))</f>
        <v>0</v>
      </c>
      <c r="D6">
        <f>IF(ISERR(Boutique!T28/(Boutique!$F$18*Boutique!N28)),0,Boutique!T28/(Boutique!$F$18*Boutique!N28))</f>
        <v>0</v>
      </c>
      <c r="E6">
        <f>Boutique!$F$18*Boutique!N28</f>
        <v>0</v>
      </c>
      <c r="F6">
        <f>Boutique!T28</f>
        <v>0</v>
      </c>
    </row>
    <row r="7" spans="1:15">
      <c r="A7" t="s">
        <v>177</v>
      </c>
      <c r="B7" t="str">
        <f>Boutique!M29</f>
        <v>Middle range items</v>
      </c>
      <c r="C7">
        <f>IF(ISERR(Boutique!O29/(Boutique!$F$18*Boutique!N29)),0,Boutique!O29/(Boutique!$F$18*Boutique!N29))</f>
        <v>0</v>
      </c>
      <c r="D7">
        <f>IF(ISERR(Boutique!T29/(Boutique!$F$18*Boutique!N29)),0,Boutique!T29/(Boutique!$F$18*Boutique!N29))</f>
        <v>0</v>
      </c>
      <c r="E7">
        <f>Boutique!$F$18*Boutique!N29</f>
        <v>0</v>
      </c>
      <c r="F7">
        <f>Boutique!T29</f>
        <v>0</v>
      </c>
    </row>
    <row r="8" spans="1:15">
      <c r="A8" t="s">
        <v>177</v>
      </c>
      <c r="B8" t="str">
        <f>Boutique!M30</f>
        <v>Low end items</v>
      </c>
      <c r="C8">
        <f>IF(ISERR(Boutique!O30/(Boutique!$F$18*Boutique!N30)),0,Boutique!O30/(Boutique!$F$18*Boutique!N30))</f>
        <v>0</v>
      </c>
      <c r="D8">
        <f>IF(ISERR(Boutique!T30/(Boutique!$F$18*Boutique!N30)),0,Boutique!T30/(Boutique!$F$18*Boutique!N30))</f>
        <v>0</v>
      </c>
      <c r="E8">
        <f>Boutique!$F$18*Boutique!N30</f>
        <v>0</v>
      </c>
      <c r="F8">
        <f>Boutique!T30</f>
        <v>0</v>
      </c>
    </row>
    <row r="9" spans="1:15">
      <c r="A9" t="s">
        <v>175</v>
      </c>
      <c r="B9">
        <f>'Farming Crops'!B3</f>
        <v>0</v>
      </c>
      <c r="C9">
        <f>IF(ISERR('Farming Crops'!B54),0,'Farming Crops'!B54)</f>
        <v>0</v>
      </c>
      <c r="D9">
        <f>'Farming Crops'!B55</f>
        <v>0</v>
      </c>
      <c r="E9" s="390">
        <f>'Farming Crops'!D10</f>
        <v>0</v>
      </c>
      <c r="F9">
        <f>'Farming Crops'!B59</f>
        <v>0</v>
      </c>
    </row>
    <row r="10" spans="1:15">
      <c r="A10" t="s">
        <v>175</v>
      </c>
      <c r="B10">
        <f>'Farming Crops'!H3</f>
        <v>0</v>
      </c>
      <c r="C10">
        <f>IF(ISERR('Farming Crops'!H54),0,'Farming Crops'!H54)</f>
        <v>0</v>
      </c>
      <c r="D10">
        <f>'Farming Crops'!H55</f>
        <v>0</v>
      </c>
      <c r="E10" s="390">
        <f>'Farming Crops'!J10</f>
        <v>0</v>
      </c>
      <c r="F10">
        <f>'Farming Crops'!H59</f>
        <v>0</v>
      </c>
    </row>
    <row r="11" spans="1:15">
      <c r="A11" t="s">
        <v>175</v>
      </c>
      <c r="B11">
        <f>'Farming Crops'!N3</f>
        <v>0</v>
      </c>
      <c r="C11">
        <f>IF(ISERR('Farming Crops'!N54),0,'Farming Crops'!N54)</f>
        <v>0</v>
      </c>
      <c r="D11">
        <f>'Farming Crops'!N55</f>
        <v>0</v>
      </c>
      <c r="E11" s="390">
        <f>'Farming Crops'!P10</f>
        <v>0</v>
      </c>
      <c r="F11">
        <f>'Farming Crops'!N59</f>
        <v>0</v>
      </c>
    </row>
    <row r="12" spans="1:15">
      <c r="A12" t="s">
        <v>359</v>
      </c>
      <c r="B12" s="389">
        <f>Restaurant_Bar!F18</f>
        <v>0</v>
      </c>
      <c r="C12">
        <f>IF(ISERR(Restaurant_Bar!J27),0,Restaurant_Bar!J27)</f>
        <v>0</v>
      </c>
      <c r="D12">
        <f>IF(ISERR(Restaurant_Bar!X27),0,Restaurant_Bar!X27)</f>
        <v>0</v>
      </c>
      <c r="E12" s="389">
        <f>Restaurant_Bar!F20</f>
        <v>0</v>
      </c>
      <c r="F12">
        <f>'Pricing-Calculation'!D12*'Pricing-Calculation'!E12</f>
        <v>0</v>
      </c>
    </row>
    <row r="13" spans="1:15">
      <c r="A13" t="s">
        <v>359</v>
      </c>
      <c r="B13" s="389">
        <f>Restaurant_Bar!F31</f>
        <v>0</v>
      </c>
      <c r="C13">
        <f>IF(ISERR(Restaurant_Bar!J40),0,Restaurant_Bar!J40)</f>
        <v>0</v>
      </c>
      <c r="D13">
        <f>IF(ISERR(Restaurant_Bar!X40),0,Restaurant_Bar!X40)</f>
        <v>0</v>
      </c>
      <c r="E13" s="389">
        <f>Restaurant_Bar!F33</f>
        <v>0</v>
      </c>
      <c r="F13">
        <f>'Pricing-Calculation'!D13*'Pricing-Calculation'!E13</f>
        <v>0</v>
      </c>
    </row>
    <row r="14" spans="1:15">
      <c r="A14" t="s">
        <v>359</v>
      </c>
      <c r="B14" s="389">
        <f>Restaurant_Bar!F44</f>
        <v>0</v>
      </c>
      <c r="C14">
        <f>IF(ISERR(Restaurant_Bar!J53),0,Restaurant_Bar!J53)</f>
        <v>0</v>
      </c>
      <c r="D14">
        <f>IF(ISERR(Restaurant_Bar!X53),0,Restaurant_Bar!X53)</f>
        <v>0</v>
      </c>
      <c r="E14" s="389">
        <f>Restaurant_Bar!F46</f>
        <v>0</v>
      </c>
      <c r="F14">
        <f>'Pricing-Calculation'!D14*'Pricing-Calculation'!E14</f>
        <v>0</v>
      </c>
    </row>
    <row r="15" spans="1:15">
      <c r="A15" t="s">
        <v>174</v>
      </c>
      <c r="B15" s="389" t="str">
        <f>'Layer Production'!D3</f>
        <v>Layer</v>
      </c>
      <c r="C15">
        <f>IF(ISERR('Layer Production'!F54),0,'Layer Production'!F54)</f>
        <v>0</v>
      </c>
      <c r="D15">
        <f>'Layer Production'!F56</f>
        <v>0</v>
      </c>
      <c r="E15" s="389">
        <f>'Layer Production'!F60</f>
        <v>0</v>
      </c>
      <c r="F15">
        <f>'Pricing-Calculation'!D15*'Pricing-Calculation'!E15</f>
        <v>0</v>
      </c>
    </row>
    <row r="16" spans="1:15">
      <c r="A16" t="s">
        <v>360</v>
      </c>
      <c r="B16" s="389" t="str">
        <f>Livestock!D3</f>
        <v>LAMB</v>
      </c>
      <c r="C16">
        <f>IF(ISERR(Livestock!C39),0,Livestock!C39)</f>
        <v>2.1614814814814816</v>
      </c>
      <c r="D16">
        <f>Livestock!C40</f>
        <v>12</v>
      </c>
      <c r="E16">
        <f>Livestock!D6*Livestock!D36</f>
        <v>13500</v>
      </c>
      <c r="F16">
        <f>D16*E16</f>
        <v>162000</v>
      </c>
    </row>
    <row r="17" spans="1:6">
      <c r="A17" t="s">
        <v>360</v>
      </c>
      <c r="B17" s="389" t="str">
        <f>Livestock!K3</f>
        <v>LAMB</v>
      </c>
      <c r="C17">
        <f>IF(ISERR(Livestock!J39),0,Livestock!J39)</f>
        <v>2.1614814814814816</v>
      </c>
      <c r="D17">
        <f>Livestock!J40</f>
        <v>12</v>
      </c>
      <c r="E17">
        <f>Livestock!K6*Livestock!K36</f>
        <v>13500</v>
      </c>
      <c r="F17">
        <f>D17*E17</f>
        <v>162000</v>
      </c>
    </row>
    <row r="19" spans="1:6">
      <c r="A19" s="391" t="str">
        <f>IF(C3&gt;0,A3,IF(C6&gt;0,A6,IF(C9&gt;0,A9,IF(C12&gt;0,A12,IF(C15&gt;0,A15,A16)))))</f>
        <v>Livestock</v>
      </c>
      <c r="B19" s="391" t="str">
        <f>IF(C3&gt;0,B3,IF(C6&gt;0,B6,IF(C9&gt;0,B9,IF(C12&gt;0,B12,IF(C15&gt;0,B15,B16)))))</f>
        <v>LAMB</v>
      </c>
      <c r="C19" s="391">
        <f>IF(C3&gt;0,C3,IF(C6&gt;0,C6,IF(C9&gt;0,C9,IF(C12&gt;0,C12,IF(C15&gt;0,C15,C16)))))</f>
        <v>2.1614814814814816</v>
      </c>
      <c r="D19" s="391">
        <f t="shared" ref="D19:F19" si="0">IF(D3&gt;0,D3,IF(D6&gt;0,D6,IF(D9&gt;0,D9,IF(D12&gt;0,D12,IF(D15&gt;0,D15,D16)))))</f>
        <v>12</v>
      </c>
      <c r="E19" s="391">
        <f t="shared" si="0"/>
        <v>13500</v>
      </c>
      <c r="F19" s="391">
        <f t="shared" si="0"/>
        <v>162000</v>
      </c>
    </row>
    <row r="20" spans="1:6">
      <c r="A20" s="391" t="str">
        <f>IF(C4&gt;0,A4,IF(C7&gt;0,A7,IF(C10&gt;0,A10,IF(C13&gt;0,A13,A17))))</f>
        <v>Livestock</v>
      </c>
      <c r="B20" s="391" t="str">
        <f>IF(C4&gt;0,B4,IF(C7&gt;0,B7,IF(C10&gt;0,B10,IF(C13&gt;0,B13,B17))))</f>
        <v>LAMB</v>
      </c>
      <c r="C20" s="391">
        <f t="shared" ref="C20:F21" si="1">IF(C4&gt;0,C4,IF(C7&gt;0,C7,IF(C10&gt;0,C10,IF(C13&gt;0,C13,C17))))</f>
        <v>2.1614814814814816</v>
      </c>
      <c r="D20" s="391">
        <f t="shared" si="1"/>
        <v>12</v>
      </c>
      <c r="E20" s="391">
        <f t="shared" si="1"/>
        <v>13500</v>
      </c>
      <c r="F20" s="391">
        <f t="shared" si="1"/>
        <v>162000</v>
      </c>
    </row>
    <row r="21" spans="1:6">
      <c r="A21" s="391">
        <f>IF(C5&gt;0,A5,IF(C8&gt;0,A8,IF(C11&gt;0,A11,IF(C14&gt;0,A14,A18))))</f>
        <v>0</v>
      </c>
      <c r="B21" s="391">
        <f>IF(C5&gt;0,B5,IF(C8&gt;0,B8,IF(C11&gt;0,B11,IF(C14&gt;0,B14,B18))))</f>
        <v>0</v>
      </c>
      <c r="C21" s="391">
        <f t="shared" si="1"/>
        <v>0</v>
      </c>
      <c r="D21" s="391">
        <f t="shared" si="1"/>
        <v>0</v>
      </c>
      <c r="E21" s="391">
        <f t="shared" si="1"/>
        <v>0</v>
      </c>
      <c r="F21" s="391">
        <f t="shared" si="1"/>
        <v>0</v>
      </c>
    </row>
  </sheetData>
  <pageMargins left="0.7" right="0.7" top="0.75" bottom="0.75" header="0.3" footer="0.3"/>
  <pageSetup paperSize="9" orientation="portrait" horizontalDpi="4294967293" verticalDpi="4294967293"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A3C1D-5EE0-4003-BDF7-2E287F93D560}">
  <sheetPr codeName="Sheet5">
    <pageSetUpPr fitToPage="1"/>
  </sheetPr>
  <dimension ref="A1:BM482"/>
  <sheetViews>
    <sheetView zoomScale="110" zoomScaleNormal="110" workbookViewId="0">
      <selection activeCell="M2" sqref="M2"/>
    </sheetView>
  </sheetViews>
  <sheetFormatPr defaultColWidth="9" defaultRowHeight="15"/>
  <cols>
    <col min="1" max="1" width="9" style="9"/>
    <col min="2" max="2" width="30.625" style="80" customWidth="1"/>
    <col min="3" max="4" width="10.875" style="150" customWidth="1"/>
    <col min="5" max="5" width="9" style="150"/>
    <col min="6" max="6" width="13.375" style="150" customWidth="1"/>
    <col min="7" max="10" width="9" style="150"/>
    <col min="11" max="11" width="9.875" style="150" customWidth="1"/>
    <col min="12" max="12" width="9.75" style="150" bestFit="1" customWidth="1"/>
    <col min="13" max="15" width="9" style="150"/>
    <col min="16" max="16" width="9.75" style="9" customWidth="1"/>
    <col min="17" max="17" width="9" style="9"/>
    <col min="18" max="18" width="37.625" style="9" customWidth="1"/>
    <col min="19" max="20" width="12.125" style="9" customWidth="1"/>
    <col min="21" max="64" width="9" style="9"/>
    <col min="65" max="16384" width="9" style="80"/>
  </cols>
  <sheetData>
    <row r="1" spans="1:65" ht="30">
      <c r="A1" s="451">
        <f>MONTH('Lean Canvas'!R4)</f>
        <v>1</v>
      </c>
      <c r="B1" s="245" t="s">
        <v>368</v>
      </c>
      <c r="C1" s="395" t="s">
        <v>369</v>
      </c>
      <c r="D1" s="395" t="s">
        <v>367</v>
      </c>
      <c r="E1" s="245" t="s">
        <v>274</v>
      </c>
      <c r="F1" s="245" t="s">
        <v>204</v>
      </c>
      <c r="G1" s="9"/>
      <c r="H1" s="9"/>
      <c r="I1" s="9"/>
      <c r="J1" s="711" t="s">
        <v>370</v>
      </c>
      <c r="K1" s="711"/>
      <c r="L1" s="711"/>
      <c r="M1" s="448">
        <v>0.125</v>
      </c>
      <c r="N1" s="9"/>
      <c r="O1" s="9"/>
      <c r="BM1" s="9"/>
    </row>
    <row r="2" spans="1:65">
      <c r="B2" s="168" t="str">
        <f>'Pricing-Calculation'!B19</f>
        <v>LAMB</v>
      </c>
      <c r="C2" s="171">
        <f>'Pricing-Calculation'!C19</f>
        <v>2.1614814814814816</v>
      </c>
      <c r="D2" s="171">
        <f>'Pricing-Calculation'!D19</f>
        <v>12</v>
      </c>
      <c r="E2" s="168">
        <f>'Pricing-Calculation'!E19</f>
        <v>13500</v>
      </c>
      <c r="F2" s="171">
        <f>'Pricing-Calculation'!F19</f>
        <v>162000</v>
      </c>
      <c r="G2" s="9"/>
      <c r="H2" s="9"/>
      <c r="I2" s="447">
        <f>Materialcost!H2</f>
        <v>1.7614814814814814</v>
      </c>
      <c r="J2" s="9"/>
      <c r="K2" s="9"/>
      <c r="L2" s="9"/>
      <c r="M2" s="9"/>
      <c r="N2" s="9"/>
      <c r="O2" s="9"/>
      <c r="BM2" s="9"/>
    </row>
    <row r="3" spans="1:65">
      <c r="B3" s="168" t="str">
        <f>'Pricing-Calculation'!B20</f>
        <v>LAMB</v>
      </c>
      <c r="C3" s="171">
        <f>'Pricing-Calculation'!C20</f>
        <v>2.1614814814814816</v>
      </c>
      <c r="D3" s="171">
        <f>'Pricing-Calculation'!D20</f>
        <v>12</v>
      </c>
      <c r="E3" s="168">
        <f>'Pricing-Calculation'!E20</f>
        <v>13500</v>
      </c>
      <c r="F3" s="171">
        <f>'Pricing-Calculation'!F20</f>
        <v>162000</v>
      </c>
      <c r="G3" s="9"/>
      <c r="H3" s="9"/>
      <c r="I3" s="447">
        <f>Materialcost!H3</f>
        <v>1.7614814814814814</v>
      </c>
      <c r="J3" s="9"/>
      <c r="K3" s="9"/>
      <c r="L3" s="9"/>
      <c r="M3" s="9"/>
      <c r="N3" s="9"/>
      <c r="O3" s="9"/>
      <c r="BM3" s="9"/>
    </row>
    <row r="4" spans="1:65" ht="15.75">
      <c r="B4" s="168">
        <f>'Pricing-Calculation'!B21</f>
        <v>0</v>
      </c>
      <c r="C4" s="171">
        <f>'Pricing-Calculation'!C21</f>
        <v>0</v>
      </c>
      <c r="D4" s="171">
        <f>'Pricing-Calculation'!D21</f>
        <v>0</v>
      </c>
      <c r="E4" s="168">
        <f>'Pricing-Calculation'!E21</f>
        <v>0</v>
      </c>
      <c r="F4" s="171">
        <f>'Pricing-Calculation'!F21</f>
        <v>0</v>
      </c>
      <c r="G4" s="707" t="s">
        <v>371</v>
      </c>
      <c r="H4" s="708"/>
      <c r="I4" s="447">
        <f>Materialcost!H4</f>
        <v>0</v>
      </c>
      <c r="J4" s="9"/>
      <c r="K4" s="9"/>
      <c r="L4" s="9"/>
      <c r="M4" s="9"/>
      <c r="N4" s="9"/>
      <c r="O4" s="9"/>
      <c r="BM4" s="9"/>
    </row>
    <row r="5" spans="1:65" ht="15.75">
      <c r="B5" s="149"/>
      <c r="C5" s="149"/>
      <c r="D5" s="167"/>
      <c r="E5" s="169" t="s">
        <v>88</v>
      </c>
      <c r="F5" s="392">
        <f>SUM(F2:F4)</f>
        <v>324000</v>
      </c>
      <c r="G5" s="709">
        <f>F5-O12-O13</f>
        <v>324000</v>
      </c>
      <c r="H5" s="710"/>
      <c r="I5" s="446"/>
      <c r="J5" s="396" t="s">
        <v>372</v>
      </c>
      <c r="K5" s="9"/>
      <c r="L5" s="9"/>
      <c r="M5" s="9"/>
      <c r="N5" s="9"/>
      <c r="O5" s="387" t="s">
        <v>211</v>
      </c>
      <c r="P5" s="393"/>
      <c r="BM5" s="9"/>
    </row>
    <row r="6" spans="1:65" ht="15.75" thickBot="1">
      <c r="B6" s="9"/>
      <c r="C6" s="9"/>
      <c r="D6" s="9"/>
      <c r="E6" s="9"/>
      <c r="F6" s="9"/>
      <c r="G6" s="9"/>
      <c r="H6" s="9"/>
      <c r="I6" s="9"/>
      <c r="J6" s="9"/>
      <c r="K6" s="9"/>
      <c r="L6" s="9"/>
      <c r="M6" s="9"/>
      <c r="N6" s="9"/>
      <c r="O6" s="9"/>
    </row>
    <row r="7" spans="1:65" s="9" customFormat="1" ht="20.25">
      <c r="A7" s="4"/>
      <c r="B7" s="234" t="s">
        <v>373</v>
      </c>
      <c r="C7" s="235"/>
      <c r="D7" s="235"/>
      <c r="E7" s="235"/>
      <c r="F7" s="235"/>
      <c r="G7" s="235"/>
      <c r="H7" s="235"/>
      <c r="I7" s="235"/>
      <c r="J7" s="235"/>
      <c r="K7" s="235"/>
      <c r="L7" s="235"/>
      <c r="M7" s="235"/>
      <c r="N7" s="235"/>
      <c r="O7" s="236"/>
      <c r="P7" s="7"/>
      <c r="R7" s="444" t="str">
        <f>'Startup-Costs'!A28</f>
        <v>LOCATION AND ADMIN EXPENSES</v>
      </c>
      <c r="S7" s="444" t="str">
        <f>'Startup-Costs'!B28</f>
        <v xml:space="preserve"> </v>
      </c>
      <c r="T7" s="444" t="str">
        <f>'Startup-Costs'!C28</f>
        <v>AMOUNT</v>
      </c>
      <c r="U7" s="444"/>
      <c r="V7" s="444"/>
      <c r="W7" s="444"/>
      <c r="X7" s="444"/>
      <c r="Y7" s="444"/>
    </row>
    <row r="8" spans="1:65" ht="45.75" customHeight="1">
      <c r="A8" s="10"/>
      <c r="B8" s="237"/>
      <c r="C8" s="240" t="str">
        <f>IF(ISERR(IF(AND(C50&lt;=0,D50&lt;0),"Break Even (minimum items has to be sold): " &amp; ROUND($C$49,0),"")),"",IF(AND(C50&lt;=0,D50&lt;0),"Break Even (minimum items has to be sold): " &amp; ROUND($C$49,0),""))</f>
        <v/>
      </c>
      <c r="D8" s="240" t="str">
        <f>IF(ISERR(IF(AND(C50&gt;0,D50&lt;=0,E50&lt;0),"Break Even (minimum items has to be sold): " &amp; ROUND($C$49,0),"")),"",IF(AND(C50&gt;0,D50&lt;=0,E50&lt;0),"Break Even (minimum items has to be sold): " &amp; ROUND($C$49,0),""))</f>
        <v/>
      </c>
      <c r="E8" s="240" t="str">
        <f>IF(ISERR(IF(AND(D50&gt;0,E50&lt;=0,F50&lt;0),"Break Even (minimum items has to be sold): " &amp; ROUND($C$49,0),"")),"",IF(AND(C50&gt;0,D50&lt;=0,E50&lt;0),"Break Even (minimum items has to be sold): " &amp; ROUND($C$49,0),""))</f>
        <v/>
      </c>
      <c r="F8" s="240" t="str">
        <f>IF(ISERR(IF(AND(E50&gt;0,F50&lt;=0,G50&lt;0),"Break Even (minimum items has to be sold): " &amp; ROUND($C$49,0),"")),"",IF(AND(C50&gt;0,D50&lt;=0,E50&lt;0),"Break Even (minimum items has to be sold): " &amp; ROUND($C$49,0),""))</f>
        <v/>
      </c>
      <c r="G8" s="240" t="str">
        <f>IF(ISERR(IF(AND(F50&gt;0,G50&lt;=0,H50&lt;0),"Break Even (minimum items has to be sold): " &amp; ROUND($C$49,0),"")),"",IF(AND(F50&gt;0,G50&lt;=0,H50&lt;0),"Break Even (minimum items has to be sold): " &amp; ROUND($C$49,0),""))</f>
        <v/>
      </c>
      <c r="H8" s="240" t="str">
        <f>IF(ISERR(IF(AND(G50&gt;0,H50&lt;=0,I50&lt;0),"Break Even (minimum items has to be sold): " &amp; ROUND($C$49,0),"")),"",IF(AND(G50&gt;0,H50&lt;=0,I50&lt;0),"Break Even (minimum items has to be sold): " &amp; ROUND($C$49,0),""))</f>
        <v/>
      </c>
      <c r="I8" s="240" t="str">
        <f>IF(ISERR(IF(AND(H50&gt;0,I50&lt;=0,J50&lt;0),"Break Even (minimum items has to be sold): " &amp; ROUND($C$49,0),"")),"",IF(AND(H50&gt;0,I50&lt;=0,J50&lt;0),"Break Even (minimum items has to be sold): " &amp; ROUND($C$49,0),""))</f>
        <v/>
      </c>
      <c r="J8" s="240" t="str">
        <f t="shared" ref="J8:M8" si="0">IF(ISERR(IF(AND(I50&gt;0,J50&lt;=0,K50&lt;0),"Break Even (minimum items has to be sold): " &amp; ROUND($C$49,0),"")),"",IF(AND(I50&gt;0,J50&lt;=0,K50&lt;0),"Break Even (minimum items has to be sold): " &amp; ROUND($C$49,0),""))</f>
        <v/>
      </c>
      <c r="K8" s="240" t="str">
        <f t="shared" si="0"/>
        <v/>
      </c>
      <c r="L8" s="240" t="str">
        <f t="shared" si="0"/>
        <v/>
      </c>
      <c r="M8" s="240" t="str">
        <f t="shared" si="0"/>
        <v/>
      </c>
      <c r="N8" s="240" t="str">
        <f>IF(ISERR(IF(AND(M50&gt;0,N50&lt;=0),"Break Even (minimum items has to be sold): " &amp; ROUND($C$49,0),"")),"",IF(AND(M50&gt;0,N50&lt;=0),"Break Even (minimum items has to be sold): " &amp; ROUND($C$49,0),""))</f>
        <v/>
      </c>
      <c r="O8" s="238"/>
      <c r="P8" s="11"/>
      <c r="R8" s="445" t="str">
        <f>'Startup-Costs'!A29</f>
        <v>Rental</v>
      </c>
      <c r="S8" s="445">
        <f>'Startup-Costs'!B29</f>
        <v>0</v>
      </c>
      <c r="T8" s="445">
        <f>'Startup-Costs'!C29</f>
        <v>0</v>
      </c>
      <c r="U8" s="444"/>
      <c r="V8" s="444"/>
      <c r="W8" s="444"/>
      <c r="X8" s="444"/>
      <c r="Y8" s="444"/>
    </row>
    <row r="9" spans="1:65">
      <c r="A9" s="82"/>
      <c r="B9" s="232" t="s">
        <v>374</v>
      </c>
      <c r="C9" s="233">
        <f t="shared" ref="C9:N9" si="1">IF(ISERR((C12+C13)/$C$48),"",(C12+C13)/$C$48)</f>
        <v>0</v>
      </c>
      <c r="D9" s="233">
        <f t="shared" si="1"/>
        <v>0</v>
      </c>
      <c r="E9" s="233">
        <f t="shared" si="1"/>
        <v>0</v>
      </c>
      <c r="F9" s="233">
        <f t="shared" si="1"/>
        <v>0</v>
      </c>
      <c r="G9" s="233">
        <f t="shared" si="1"/>
        <v>0</v>
      </c>
      <c r="H9" s="233">
        <f t="shared" si="1"/>
        <v>0</v>
      </c>
      <c r="I9" s="233">
        <f t="shared" si="1"/>
        <v>0</v>
      </c>
      <c r="J9" s="233">
        <f t="shared" si="1"/>
        <v>0</v>
      </c>
      <c r="K9" s="233">
        <f t="shared" si="1"/>
        <v>0</v>
      </c>
      <c r="L9" s="233">
        <f t="shared" si="1"/>
        <v>0</v>
      </c>
      <c r="M9" s="233">
        <f t="shared" si="1"/>
        <v>0</v>
      </c>
      <c r="N9" s="233">
        <f t="shared" si="1"/>
        <v>0</v>
      </c>
      <c r="O9" s="233">
        <f>SUM(C9:N9)</f>
        <v>0</v>
      </c>
      <c r="P9" s="83"/>
      <c r="R9" s="445" t="str">
        <f>'Startup-Costs'!A30</f>
        <v>Utility deposits</v>
      </c>
      <c r="S9" s="445">
        <f>'Startup-Costs'!B30</f>
        <v>0</v>
      </c>
      <c r="T9" s="445">
        <f>'Startup-Costs'!C30</f>
        <v>0</v>
      </c>
      <c r="U9" s="444"/>
      <c r="V9" s="444"/>
      <c r="W9" s="444"/>
      <c r="X9" s="444"/>
      <c r="Y9" s="444"/>
    </row>
    <row r="10" spans="1:65">
      <c r="A10" s="82"/>
      <c r="B10" s="84"/>
      <c r="C10" s="449">
        <f>DATE(,IF(A1&gt;12,A1-12,A1),1)</f>
        <v>1</v>
      </c>
      <c r="D10" s="449">
        <f>DATE(,IF($A$1+1&gt;12,$A$1+1-12,$A$1+1),1)</f>
        <v>32</v>
      </c>
      <c r="E10" s="449">
        <f>DATE(,IF($A$1+2&gt;12,$A$1+2-12,$A$1+2),1)</f>
        <v>61</v>
      </c>
      <c r="F10" s="449">
        <f>DATE(,IF($A$1+3&gt;12,$A$1+3-12,$A$1+3),1)</f>
        <v>92</v>
      </c>
      <c r="G10" s="449">
        <f>DATE(,IF($A$1+4&gt;12,$A$1+4-12,$A$1+4),1)</f>
        <v>122</v>
      </c>
      <c r="H10" s="449">
        <f>DATE(,IF($A$1+5&gt;12,$A$1+5-12,$A$1+5),1)</f>
        <v>153</v>
      </c>
      <c r="I10" s="449">
        <f>DATE(,IF($A$1+6&gt;12,$A$1+6-12,$A$1+6),1)</f>
        <v>183</v>
      </c>
      <c r="J10" s="449">
        <f>DATE(,IF($A$1+7&gt;12,$A$1+7-12,$A$1+7),1)</f>
        <v>214</v>
      </c>
      <c r="K10" s="449">
        <f>DATE(,IF($A$1+8&gt;12,$A$1+8-12,$A$1+8),1)</f>
        <v>245</v>
      </c>
      <c r="L10" s="449">
        <f>DATE(,IF($A$1+9&gt;12,$A$1+9-12,$A$1+9),1)</f>
        <v>275</v>
      </c>
      <c r="M10" s="449">
        <f>DATE(,IF($A$1+10&gt;12,$A$1+10-12,$A$1+10),1)</f>
        <v>306</v>
      </c>
      <c r="N10" s="449">
        <f>DATE(,IF($A$1+11&gt;12,$A$1+11-12,$A$1+11),1)</f>
        <v>336</v>
      </c>
      <c r="O10" s="140" t="s">
        <v>375</v>
      </c>
      <c r="P10" s="83"/>
      <c r="R10" s="445" t="str">
        <f>'Startup-Costs'!A31</f>
        <v>Legal and accounting fees</v>
      </c>
      <c r="S10" s="445">
        <f>'Startup-Costs'!B31</f>
        <v>0</v>
      </c>
      <c r="T10" s="445">
        <f>'Startup-Costs'!C31</f>
        <v>0</v>
      </c>
      <c r="U10" s="444"/>
      <c r="V10" s="444"/>
      <c r="W10" s="444"/>
      <c r="X10" s="444"/>
      <c r="Y10" s="444"/>
    </row>
    <row r="11" spans="1:65">
      <c r="A11" s="82"/>
      <c r="B11" s="84" t="s">
        <v>376</v>
      </c>
      <c r="C11" s="141"/>
      <c r="D11" s="142"/>
      <c r="E11" s="142"/>
      <c r="F11" s="142"/>
      <c r="G11" s="142"/>
      <c r="H11" s="142"/>
      <c r="I11" s="142"/>
      <c r="J11" s="142"/>
      <c r="K11" s="142"/>
      <c r="L11" s="142"/>
      <c r="M11" s="142"/>
      <c r="N11" s="142"/>
      <c r="O11" s="142"/>
      <c r="P11" s="83"/>
      <c r="R11" s="445" t="str">
        <f>'Startup-Costs'!A32</f>
        <v>Prepaid insurance</v>
      </c>
      <c r="S11" s="445">
        <f>'Startup-Costs'!B32</f>
        <v>0</v>
      </c>
      <c r="T11" s="445">
        <f>'Startup-Costs'!C32</f>
        <v>0</v>
      </c>
      <c r="U11" s="444"/>
      <c r="V11" s="444"/>
      <c r="W11" s="444"/>
      <c r="X11" s="444"/>
      <c r="Y11" s="444"/>
    </row>
    <row r="12" spans="1:65">
      <c r="A12" s="82"/>
      <c r="B12" s="85" t="s">
        <v>377</v>
      </c>
      <c r="C12" s="143"/>
      <c r="D12" s="143"/>
      <c r="E12" s="143"/>
      <c r="F12" s="143"/>
      <c r="G12" s="143"/>
      <c r="H12" s="143"/>
      <c r="I12" s="143"/>
      <c r="J12" s="143"/>
      <c r="K12" s="143"/>
      <c r="L12" s="143"/>
      <c r="M12" s="143"/>
      <c r="N12" s="143"/>
      <c r="O12" s="144">
        <f>SUM(C12:N12)</f>
        <v>0</v>
      </c>
      <c r="P12" s="83"/>
      <c r="R12" s="445" t="str">
        <f>'Startup-Costs'!A33</f>
        <v xml:space="preserve">Pre-opening salaries </v>
      </c>
      <c r="S12" s="445">
        <f>'Startup-Costs'!B33</f>
        <v>0</v>
      </c>
      <c r="T12" s="445">
        <f>'Startup-Costs'!C33</f>
        <v>0</v>
      </c>
      <c r="U12" s="444"/>
      <c r="V12" s="444"/>
      <c r="W12" s="444"/>
      <c r="X12" s="444"/>
      <c r="Y12" s="444"/>
    </row>
    <row r="13" spans="1:65">
      <c r="A13" s="82"/>
      <c r="B13" s="85" t="s">
        <v>378</v>
      </c>
      <c r="C13" s="143"/>
      <c r="D13" s="143"/>
      <c r="E13" s="143"/>
      <c r="F13" s="143"/>
      <c r="G13" s="143"/>
      <c r="H13" s="143"/>
      <c r="I13" s="143"/>
      <c r="J13" s="143"/>
      <c r="K13" s="143"/>
      <c r="L13" s="143"/>
      <c r="M13" s="143"/>
      <c r="N13" s="143"/>
      <c r="O13" s="144">
        <f>SUM(C13:N13)</f>
        <v>0</v>
      </c>
      <c r="P13" s="83"/>
      <c r="R13" s="445" t="str">
        <f>'Startup-Costs'!A34</f>
        <v>Other</v>
      </c>
      <c r="S13" s="445">
        <f>'Startup-Costs'!B34</f>
        <v>0</v>
      </c>
      <c r="T13" s="445">
        <f>'Startup-Costs'!C34</f>
        <v>0</v>
      </c>
      <c r="U13" s="444"/>
      <c r="V13" s="444"/>
      <c r="W13" s="444"/>
      <c r="X13" s="444"/>
      <c r="Y13" s="444"/>
    </row>
    <row r="14" spans="1:65">
      <c r="A14" s="82"/>
      <c r="B14" s="85" t="s">
        <v>379</v>
      </c>
      <c r="C14" s="142">
        <f>CapitalSources[[#Totals],[TOTALS]]</f>
        <v>0</v>
      </c>
      <c r="D14" s="143"/>
      <c r="E14" s="143"/>
      <c r="F14" s="143"/>
      <c r="G14" s="143"/>
      <c r="H14" s="143"/>
      <c r="I14" s="143"/>
      <c r="J14" s="143"/>
      <c r="K14" s="143"/>
      <c r="L14" s="143"/>
      <c r="M14" s="143"/>
      <c r="N14" s="143"/>
      <c r="O14" s="144">
        <f>SUM(C14:N14)</f>
        <v>0</v>
      </c>
      <c r="P14" s="83"/>
      <c r="R14" s="445" t="str">
        <f>'Startup-Costs'!A35</f>
        <v>Total</v>
      </c>
      <c r="S14" s="445">
        <f>'Startup-Costs'!B35</f>
        <v>0</v>
      </c>
      <c r="T14" s="445">
        <f>'Startup-Costs'!C35</f>
        <v>0</v>
      </c>
      <c r="U14" s="444"/>
      <c r="V14" s="444"/>
      <c r="W14" s="444"/>
      <c r="X14" s="444"/>
      <c r="Y14" s="444"/>
    </row>
    <row r="15" spans="1:65" ht="15.75" thickBot="1">
      <c r="A15" s="82"/>
      <c r="B15" s="86" t="s">
        <v>380</v>
      </c>
      <c r="C15" s="145">
        <f t="shared" ref="C15:N15" si="2">SUM(C12:C14)</f>
        <v>0</v>
      </c>
      <c r="D15" s="145">
        <f t="shared" si="2"/>
        <v>0</v>
      </c>
      <c r="E15" s="145">
        <f t="shared" si="2"/>
        <v>0</v>
      </c>
      <c r="F15" s="145">
        <f t="shared" si="2"/>
        <v>0</v>
      </c>
      <c r="G15" s="145">
        <f t="shared" si="2"/>
        <v>0</v>
      </c>
      <c r="H15" s="145">
        <f t="shared" si="2"/>
        <v>0</v>
      </c>
      <c r="I15" s="145">
        <f t="shared" si="2"/>
        <v>0</v>
      </c>
      <c r="J15" s="145">
        <f t="shared" si="2"/>
        <v>0</v>
      </c>
      <c r="K15" s="145">
        <f t="shared" si="2"/>
        <v>0</v>
      </c>
      <c r="L15" s="145">
        <f t="shared" si="2"/>
        <v>0</v>
      </c>
      <c r="M15" s="145">
        <f t="shared" si="2"/>
        <v>0</v>
      </c>
      <c r="N15" s="145">
        <f t="shared" si="2"/>
        <v>0</v>
      </c>
      <c r="O15" s="145">
        <f>SUM(C15:N15)</f>
        <v>0</v>
      </c>
      <c r="P15" s="83"/>
      <c r="R15" s="444"/>
      <c r="S15" s="444"/>
      <c r="T15" s="444"/>
      <c r="U15" s="444"/>
      <c r="V15" s="444"/>
      <c r="W15" s="444"/>
      <c r="X15" s="444"/>
      <c r="Y15" s="444"/>
    </row>
    <row r="16" spans="1:65" ht="15.75" thickTop="1">
      <c r="A16" s="82"/>
      <c r="B16" s="87"/>
      <c r="C16" s="146"/>
      <c r="D16" s="146"/>
      <c r="E16" s="146"/>
      <c r="F16" s="146"/>
      <c r="G16" s="146"/>
      <c r="H16" s="146"/>
      <c r="I16" s="146"/>
      <c r="J16" s="146"/>
      <c r="K16" s="146"/>
      <c r="L16" s="146"/>
      <c r="M16" s="146"/>
      <c r="N16" s="146"/>
      <c r="O16" s="146"/>
      <c r="P16" s="83"/>
      <c r="R16" s="444" t="str">
        <f>'Startup-Costs'!A37</f>
        <v>OPENING INVENTORY</v>
      </c>
      <c r="S16" s="444" t="str">
        <f>'Startup-Costs'!B37</f>
        <v xml:space="preserve"> </v>
      </c>
      <c r="T16" s="444" t="str">
        <f>'Startup-Costs'!C37</f>
        <v>AMOUNT</v>
      </c>
      <c r="U16" s="444"/>
      <c r="V16" s="444"/>
      <c r="W16" s="444"/>
      <c r="X16" s="444"/>
      <c r="Y16" s="444"/>
    </row>
    <row r="17" spans="1:25">
      <c r="A17" s="82"/>
      <c r="B17" s="84" t="s">
        <v>381</v>
      </c>
      <c r="C17" s="142"/>
      <c r="D17" s="142"/>
      <c r="E17" s="142"/>
      <c r="F17" s="142"/>
      <c r="G17" s="142"/>
      <c r="H17" s="142"/>
      <c r="I17" s="142"/>
      <c r="J17" s="142"/>
      <c r="K17" s="142"/>
      <c r="L17" s="142"/>
      <c r="M17" s="142"/>
      <c r="N17" s="142"/>
      <c r="O17" s="142"/>
      <c r="P17" s="83"/>
      <c r="R17" s="445" t="str">
        <f>'Startup-Costs'!A38</f>
        <v>Category 1</v>
      </c>
      <c r="S17" s="445">
        <f>'Startup-Costs'!B38</f>
        <v>0</v>
      </c>
      <c r="T17" s="445">
        <f>'Startup-Costs'!C38</f>
        <v>0</v>
      </c>
      <c r="U17" s="444"/>
      <c r="V17" s="444"/>
      <c r="W17" s="444"/>
      <c r="X17" s="444"/>
      <c r="Y17" s="444"/>
    </row>
    <row r="18" spans="1:25">
      <c r="A18" s="82"/>
      <c r="B18" s="85" t="s">
        <v>382</v>
      </c>
      <c r="C18" s="142">
        <f>OpeningInventory[[#Totals],[AMOUNT]]</f>
        <v>0</v>
      </c>
      <c r="D18" s="142">
        <f>IF(OR(D12&gt;0,D13&gt;0),($E$2*$I$2+CashFlow!$E$3*$I$3+CashFlow!$E$4*$I$4)*(D12+D13)/($O$12+$O$13),0)</f>
        <v>0</v>
      </c>
      <c r="E18" s="142">
        <f>IF(OR(E12&gt;0,E13&gt;0),($E$2*$I$2+CashFlow!$E$3*$I$3+CashFlow!$E$4*$I$4)*(E12+E13)/($O$12+$O$13),0)</f>
        <v>0</v>
      </c>
      <c r="F18" s="142">
        <f>IF(OR(F12&gt;0,F13&gt;0),($E$2*$I$2+CashFlow!$E$3*$I$3+CashFlow!$E$4*$I$4)*(F12+F13)/($O$12+$O$13),0)</f>
        <v>0</v>
      </c>
      <c r="G18" s="142">
        <f>IF(OR(G12&gt;0,G13&gt;0),($E$2*$I$2+CashFlow!$E$3*$I$3+CashFlow!$E$4*$I$4)*(G12+G13)/($O$12+$O$13),0)</f>
        <v>0</v>
      </c>
      <c r="H18" s="142">
        <f>IF(OR(H12&gt;0,H13&gt;0),($E$2*$I$2+CashFlow!$E$3*$I$3+CashFlow!$E$4*$I$4)*(H12+H13)/($O$12+$O$13),0)</f>
        <v>0</v>
      </c>
      <c r="I18" s="142">
        <f>IF(OR(I12&gt;0,I13&gt;0),($E$2*$I$2+CashFlow!$E$3*$I$3+CashFlow!$E$4*$I$4)*(I12+I13)/($O$12+$O$13),0)</f>
        <v>0</v>
      </c>
      <c r="J18" s="142">
        <f>IF(OR(J12&gt;0,J13&gt;0),($E$2*$I$2+CashFlow!$E$3*$I$3+CashFlow!$E$4*$I$4)*(J12+J13)/($O$12+$O$13),0)</f>
        <v>0</v>
      </c>
      <c r="K18" s="142">
        <f>IF(OR(K12&gt;0,K13&gt;0),($E$2*$I$2+CashFlow!$E$3*$I$3+CashFlow!$E$4*$I$4)*(K12+K13)/($O$12+$O$13),0)</f>
        <v>0</v>
      </c>
      <c r="L18" s="142">
        <f>IF(OR(L12&gt;0,L13&gt;0),($E$2*$I$2+CashFlow!$E$3*$I$3+CashFlow!$E$4*$I$4)*(L12+L13)/($O$12+$O$13),0)</f>
        <v>0</v>
      </c>
      <c r="M18" s="142">
        <f>IF(OR(M12&gt;0,M13&gt;0),($E$2*$I$2+CashFlow!$E$3*$I$3+CashFlow!$E$4*$I$4)*(M12+M13)/($O$12+$O$13),0)</f>
        <v>0</v>
      </c>
      <c r="N18" s="142">
        <f>IF(OR(N12&gt;0,N13&gt;0),($E$2*$I$2+CashFlow!$E$3*$I$3+CashFlow!$E$4*$I$4)*(N12+N13)/($O$12+$O$13),0)</f>
        <v>0</v>
      </c>
      <c r="O18" s="144">
        <f t="shared" ref="O18:O35" si="3">SUM(C18:N18)</f>
        <v>0</v>
      </c>
      <c r="P18" s="83"/>
      <c r="R18" s="445" t="str">
        <f>'Startup-Costs'!A39</f>
        <v>Category 2</v>
      </c>
      <c r="S18" s="445">
        <f>'Startup-Costs'!B39</f>
        <v>0</v>
      </c>
      <c r="T18" s="445">
        <f>'Startup-Costs'!C39</f>
        <v>0</v>
      </c>
      <c r="U18" s="444"/>
      <c r="V18" s="444"/>
      <c r="W18" s="444"/>
      <c r="X18" s="444"/>
      <c r="Y18" s="444"/>
    </row>
    <row r="19" spans="1:25">
      <c r="A19" s="82"/>
      <c r="B19" s="85" t="s">
        <v>383</v>
      </c>
      <c r="C19" s="143"/>
      <c r="D19" s="143"/>
      <c r="E19" s="143"/>
      <c r="F19" s="143"/>
      <c r="G19" s="143"/>
      <c r="H19" s="143"/>
      <c r="I19" s="143"/>
      <c r="J19" s="143"/>
      <c r="K19" s="143"/>
      <c r="L19" s="143"/>
      <c r="M19" s="143"/>
      <c r="N19" s="143"/>
      <c r="O19" s="144">
        <f t="shared" si="3"/>
        <v>0</v>
      </c>
      <c r="P19" s="83"/>
      <c r="R19" s="445" t="str">
        <f>'Startup-Costs'!A40</f>
        <v>Category 3</v>
      </c>
      <c r="S19" s="445">
        <f>'Startup-Costs'!B40</f>
        <v>0</v>
      </c>
      <c r="T19" s="445">
        <f>'Startup-Costs'!C40</f>
        <v>0</v>
      </c>
      <c r="U19" s="444"/>
      <c r="V19" s="444"/>
      <c r="W19" s="444"/>
      <c r="X19" s="444"/>
      <c r="Y19" s="444"/>
    </row>
    <row r="20" spans="1:25">
      <c r="A20" s="82"/>
      <c r="B20" s="85" t="s">
        <v>384</v>
      </c>
      <c r="C20" s="143"/>
      <c r="D20" s="143"/>
      <c r="E20" s="143"/>
      <c r="F20" s="143"/>
      <c r="G20" s="143"/>
      <c r="H20" s="143"/>
      <c r="I20" s="143"/>
      <c r="J20" s="143"/>
      <c r="K20" s="143"/>
      <c r="L20" s="143"/>
      <c r="M20" s="143"/>
      <c r="N20" s="143"/>
      <c r="O20" s="144">
        <f t="shared" si="3"/>
        <v>0</v>
      </c>
      <c r="P20" s="83"/>
      <c r="R20" s="445" t="str">
        <f>'Startup-Costs'!A41</f>
        <v>Category 4</v>
      </c>
      <c r="S20" s="445">
        <f>'Startup-Costs'!B41</f>
        <v>0</v>
      </c>
      <c r="T20" s="445">
        <f>'Startup-Costs'!C41</f>
        <v>0</v>
      </c>
      <c r="U20" s="444"/>
      <c r="V20" s="444"/>
      <c r="W20" s="444"/>
      <c r="X20" s="444"/>
      <c r="Y20" s="444"/>
    </row>
    <row r="21" spans="1:25">
      <c r="A21" s="82"/>
      <c r="B21" s="85" t="s">
        <v>385</v>
      </c>
      <c r="C21" s="143"/>
      <c r="D21" s="143"/>
      <c r="E21" s="143"/>
      <c r="F21" s="143"/>
      <c r="G21" s="143"/>
      <c r="H21" s="143"/>
      <c r="I21" s="143"/>
      <c r="J21" s="143"/>
      <c r="K21" s="143"/>
      <c r="L21" s="143"/>
      <c r="M21" s="143"/>
      <c r="N21" s="143"/>
      <c r="O21" s="144">
        <f t="shared" si="3"/>
        <v>0</v>
      </c>
      <c r="P21" s="83"/>
      <c r="R21" s="445" t="str">
        <f>'Startup-Costs'!A42</f>
        <v>Category 5</v>
      </c>
      <c r="S21" s="445">
        <f>'Startup-Costs'!B42</f>
        <v>0</v>
      </c>
      <c r="T21" s="445">
        <f>'Startup-Costs'!C42</f>
        <v>0</v>
      </c>
      <c r="U21" s="444"/>
      <c r="V21" s="444"/>
      <c r="W21" s="444"/>
      <c r="X21" s="444"/>
      <c r="Y21" s="444"/>
    </row>
    <row r="22" spans="1:25">
      <c r="A22" s="82"/>
      <c r="B22" s="85" t="s">
        <v>386</v>
      </c>
      <c r="C22" s="143"/>
      <c r="D22" s="143"/>
      <c r="E22" s="143"/>
      <c r="F22" s="143"/>
      <c r="G22" s="143"/>
      <c r="H22" s="143"/>
      <c r="I22" s="143"/>
      <c r="J22" s="143"/>
      <c r="K22" s="143"/>
      <c r="L22" s="143"/>
      <c r="M22" s="143"/>
      <c r="N22" s="143"/>
      <c r="O22" s="144">
        <f t="shared" si="3"/>
        <v>0</v>
      </c>
      <c r="P22" s="83"/>
      <c r="R22" s="445" t="str">
        <f>'Startup-Costs'!A43</f>
        <v>Total</v>
      </c>
      <c r="S22" s="445">
        <f>'Startup-Costs'!B43</f>
        <v>0</v>
      </c>
      <c r="T22" s="445">
        <f>'Startup-Costs'!C43</f>
        <v>0</v>
      </c>
      <c r="U22" s="444"/>
      <c r="V22" s="444"/>
      <c r="W22" s="444"/>
      <c r="X22" s="444"/>
      <c r="Y22" s="444"/>
    </row>
    <row r="23" spans="1:25">
      <c r="A23" s="82"/>
      <c r="B23" s="85" t="s">
        <v>387</v>
      </c>
      <c r="C23" s="143"/>
      <c r="D23" s="143"/>
      <c r="E23" s="143"/>
      <c r="F23" s="143"/>
      <c r="G23" s="143"/>
      <c r="H23" s="143"/>
      <c r="I23" s="143"/>
      <c r="J23" s="143"/>
      <c r="K23" s="143"/>
      <c r="L23" s="143"/>
      <c r="M23" s="143"/>
      <c r="N23" s="143"/>
      <c r="O23" s="144">
        <f t="shared" si="3"/>
        <v>0</v>
      </c>
      <c r="P23" s="83"/>
      <c r="R23" s="444"/>
      <c r="S23" s="444"/>
      <c r="T23" s="444"/>
      <c r="U23" s="444"/>
      <c r="V23" s="444"/>
      <c r="W23" s="444"/>
      <c r="X23" s="444"/>
      <c r="Y23" s="444"/>
    </row>
    <row r="24" spans="1:25">
      <c r="A24" s="82"/>
      <c r="B24" s="85" t="s">
        <v>388</v>
      </c>
      <c r="C24" s="143"/>
      <c r="D24" s="143"/>
      <c r="E24" s="143"/>
      <c r="F24" s="143"/>
      <c r="G24" s="143"/>
      <c r="H24" s="143"/>
      <c r="I24" s="143"/>
      <c r="J24" s="143"/>
      <c r="K24" s="143"/>
      <c r="L24" s="143"/>
      <c r="M24" s="143"/>
      <c r="N24" s="143"/>
      <c r="O24" s="144">
        <f t="shared" si="3"/>
        <v>0</v>
      </c>
      <c r="P24" s="83"/>
      <c r="R24" s="444" t="str">
        <f>'Startup-Costs'!A45</f>
        <v>ADVERTISING AND PROMOTIONAL EXPENSES</v>
      </c>
      <c r="S24" s="444" t="str">
        <f>'Startup-Costs'!B45</f>
        <v xml:space="preserve"> </v>
      </c>
      <c r="T24" s="444" t="str">
        <f>'Startup-Costs'!C45</f>
        <v>AMOUNT</v>
      </c>
      <c r="U24" s="444"/>
      <c r="V24" s="444"/>
      <c r="W24" s="444"/>
      <c r="X24" s="444"/>
      <c r="Y24" s="444"/>
    </row>
    <row r="25" spans="1:25">
      <c r="A25" s="82"/>
      <c r="B25" s="85" t="s">
        <v>389</v>
      </c>
      <c r="C25" s="453" cm="1">
        <f t="array" ref="C25:C27">'Startup-Costs'!C63:C65</f>
        <v>0</v>
      </c>
      <c r="D25" s="143"/>
      <c r="E25" s="143"/>
      <c r="F25" s="143"/>
      <c r="G25" s="143"/>
      <c r="H25" s="143"/>
      <c r="I25" s="143"/>
      <c r="J25" s="143"/>
      <c r="K25" s="143"/>
      <c r="L25" s="143"/>
      <c r="M25" s="143"/>
      <c r="N25" s="143"/>
      <c r="O25" s="144"/>
      <c r="P25" s="83"/>
      <c r="R25" s="444"/>
      <c r="S25" s="444"/>
      <c r="T25" s="444"/>
      <c r="U25" s="444"/>
      <c r="V25" s="444"/>
      <c r="W25" s="444"/>
      <c r="X25" s="444"/>
      <c r="Y25" s="444"/>
    </row>
    <row r="26" spans="1:25">
      <c r="A26" s="82"/>
      <c r="B26" s="85" t="s">
        <v>390</v>
      </c>
      <c r="C26" s="150">
        <v>0</v>
      </c>
      <c r="D26" s="143"/>
      <c r="E26" s="143"/>
      <c r="F26" s="143"/>
      <c r="G26" s="143"/>
      <c r="H26" s="143"/>
      <c r="I26" s="143"/>
      <c r="J26" s="143"/>
      <c r="K26" s="143"/>
      <c r="L26" s="143"/>
      <c r="M26" s="143"/>
      <c r="N26" s="143"/>
      <c r="O26" s="144">
        <f>SUM(C26:N26)</f>
        <v>0</v>
      </c>
      <c r="P26" s="83"/>
      <c r="R26" s="445" t="str">
        <f>'Startup-Costs'!A46</f>
        <v>Advertising</v>
      </c>
      <c r="S26" s="445">
        <f>'Startup-Costs'!B46</f>
        <v>0</v>
      </c>
      <c r="T26" s="445">
        <f>'Startup-Costs'!C46</f>
        <v>0</v>
      </c>
      <c r="U26" s="444"/>
      <c r="V26" s="444"/>
      <c r="W26" s="444"/>
      <c r="X26" s="444"/>
      <c r="Y26" s="444"/>
    </row>
    <row r="27" spans="1:25">
      <c r="A27" s="82"/>
      <c r="B27" s="85" t="s">
        <v>391</v>
      </c>
      <c r="C27" s="143">
        <v>0</v>
      </c>
      <c r="D27" s="143"/>
      <c r="E27" s="143"/>
      <c r="F27" s="143"/>
      <c r="G27" s="143"/>
      <c r="H27" s="143"/>
      <c r="I27" s="143"/>
      <c r="J27" s="143"/>
      <c r="K27" s="143"/>
      <c r="L27" s="143"/>
      <c r="M27" s="143"/>
      <c r="N27" s="143"/>
      <c r="O27" s="144">
        <f t="shared" si="3"/>
        <v>0</v>
      </c>
      <c r="P27" s="83"/>
      <c r="R27" s="445" t="str">
        <f>'Startup-Costs'!A47</f>
        <v>Signage</v>
      </c>
      <c r="S27" s="445">
        <f>'Startup-Costs'!B47</f>
        <v>0</v>
      </c>
      <c r="T27" s="445">
        <f>'Startup-Costs'!C47</f>
        <v>0</v>
      </c>
      <c r="U27" s="444"/>
      <c r="V27" s="444"/>
      <c r="W27" s="444"/>
      <c r="X27" s="444"/>
      <c r="Y27" s="444"/>
    </row>
    <row r="28" spans="1:25">
      <c r="A28" s="82"/>
      <c r="B28" s="85" t="s">
        <v>392</v>
      </c>
      <c r="C28" s="143"/>
      <c r="D28" s="143"/>
      <c r="E28" s="143"/>
      <c r="F28" s="143"/>
      <c r="G28" s="143"/>
      <c r="H28" s="143"/>
      <c r="I28" s="143"/>
      <c r="J28" s="143"/>
      <c r="K28" s="143"/>
      <c r="L28" s="143"/>
      <c r="M28" s="143"/>
      <c r="N28" s="143"/>
      <c r="O28" s="144">
        <f t="shared" si="3"/>
        <v>0</v>
      </c>
      <c r="P28" s="83"/>
      <c r="R28" s="445" t="str">
        <f>'Startup-Costs'!A48</f>
        <v>Printing</v>
      </c>
      <c r="S28" s="445">
        <f>'Startup-Costs'!B48</f>
        <v>0</v>
      </c>
      <c r="T28" s="445">
        <f>'Startup-Costs'!C48</f>
        <v>0</v>
      </c>
      <c r="U28" s="444"/>
      <c r="V28" s="444"/>
      <c r="W28" s="444"/>
      <c r="X28" s="444"/>
      <c r="Y28" s="444"/>
    </row>
    <row r="29" spans="1:25">
      <c r="A29" s="82"/>
      <c r="B29" s="85" t="s">
        <v>393</v>
      </c>
      <c r="C29" s="142">
        <f>(IF('Startup-Costs'!C84&gt;0,'Startup-Costs'!C84/'Startup-Costs'!D84)+IF('Startup-Costs'!C85&gt;0,'Startup-Costs'!C85/'Startup-Costs'!D85)+IF('Startup-Costs'!C86&gt;0,'Startup-Costs'!C86/'Startup-Costs'!D86)+IF('Startup-Costs'!C87&gt;0,'Startup-Costs'!C87/'Startup-Costs'!D87)+IF('Startup-Costs'!C91&gt;0,'Startup-Costs'!C91/'Startup-Costs'!D91)+IF('Startup-Costs'!C92&gt;0,'Startup-Costs'!C92/'Startup-Costs'!D92))/12</f>
        <v>0</v>
      </c>
      <c r="D29" s="142">
        <f>C29</f>
        <v>0</v>
      </c>
      <c r="E29" s="142">
        <f t="shared" ref="E29:N29" si="4">D29</f>
        <v>0</v>
      </c>
      <c r="F29" s="142">
        <f t="shared" si="4"/>
        <v>0</v>
      </c>
      <c r="G29" s="142">
        <f t="shared" si="4"/>
        <v>0</v>
      </c>
      <c r="H29" s="142">
        <f t="shared" si="4"/>
        <v>0</v>
      </c>
      <c r="I29" s="142">
        <f t="shared" si="4"/>
        <v>0</v>
      </c>
      <c r="J29" s="142">
        <f t="shared" si="4"/>
        <v>0</v>
      </c>
      <c r="K29" s="142">
        <f t="shared" si="4"/>
        <v>0</v>
      </c>
      <c r="L29" s="142">
        <f t="shared" si="4"/>
        <v>0</v>
      </c>
      <c r="M29" s="142">
        <f t="shared" si="4"/>
        <v>0</v>
      </c>
      <c r="N29" s="142">
        <f t="shared" si="4"/>
        <v>0</v>
      </c>
      <c r="O29" s="144">
        <f t="shared" si="3"/>
        <v>0</v>
      </c>
      <c r="P29" s="83"/>
      <c r="R29" s="445" t="str">
        <f>'Startup-Costs'!A49</f>
        <v>Travel/entertainment</v>
      </c>
      <c r="S29" s="445">
        <f>'Startup-Costs'!B49</f>
        <v>0</v>
      </c>
      <c r="T29" s="445">
        <f>'Startup-Costs'!C49</f>
        <v>0</v>
      </c>
      <c r="U29" s="444"/>
      <c r="V29" s="444"/>
      <c r="W29" s="444"/>
      <c r="X29" s="444"/>
      <c r="Y29" s="444"/>
    </row>
    <row r="30" spans="1:25">
      <c r="A30" s="82"/>
      <c r="B30" s="85" t="s">
        <v>394</v>
      </c>
      <c r="C30" s="143"/>
      <c r="D30" s="143"/>
      <c r="E30" s="143"/>
      <c r="F30" s="143"/>
      <c r="G30" s="143"/>
      <c r="H30" s="143"/>
      <c r="I30" s="143"/>
      <c r="J30" s="143"/>
      <c r="K30" s="143"/>
      <c r="L30" s="143"/>
      <c r="M30" s="143"/>
      <c r="N30" s="143"/>
      <c r="O30" s="144">
        <f t="shared" si="3"/>
        <v>0</v>
      </c>
      <c r="P30" s="83"/>
      <c r="R30" s="445" t="str">
        <f>'Startup-Costs'!A50</f>
        <v>Other/additional categories</v>
      </c>
      <c r="S30" s="445">
        <f>'Startup-Costs'!B50</f>
        <v>0</v>
      </c>
      <c r="T30" s="445">
        <f>'Startup-Costs'!C50</f>
        <v>0</v>
      </c>
      <c r="U30" s="444"/>
      <c r="V30" s="444"/>
      <c r="W30" s="444"/>
      <c r="X30" s="444"/>
      <c r="Y30" s="444"/>
    </row>
    <row r="31" spans="1:25">
      <c r="A31" s="82"/>
      <c r="B31" s="85" t="s">
        <v>395</v>
      </c>
      <c r="C31" s="142">
        <f>('Startup-Costs'!C84*'Startup-Costs'!E84+'Startup-Costs'!C85*'Startup-Costs'!E85+'Startup-Costs'!C86*'Startup-Costs'!E86+'Startup-Costs'!C87*'Startup-Costs'!E87+'Startup-Costs'!C91*'Startup-Costs'!E91+'Startup-Costs'!C92*'Startup-Costs'!E92+'Startup-Costs'!C60*'Startup-Costs'!D60)/12</f>
        <v>0</v>
      </c>
      <c r="D31" s="142">
        <f>C31</f>
        <v>0</v>
      </c>
      <c r="E31" s="142">
        <f t="shared" ref="E31:N31" si="5">D31</f>
        <v>0</v>
      </c>
      <c r="F31" s="142">
        <f t="shared" si="5"/>
        <v>0</v>
      </c>
      <c r="G31" s="142">
        <f t="shared" si="5"/>
        <v>0</v>
      </c>
      <c r="H31" s="142">
        <f t="shared" si="5"/>
        <v>0</v>
      </c>
      <c r="I31" s="142">
        <f t="shared" si="5"/>
        <v>0</v>
      </c>
      <c r="J31" s="142">
        <f t="shared" si="5"/>
        <v>0</v>
      </c>
      <c r="K31" s="142">
        <f t="shared" si="5"/>
        <v>0</v>
      </c>
      <c r="L31" s="142">
        <f t="shared" si="5"/>
        <v>0</v>
      </c>
      <c r="M31" s="142">
        <f t="shared" si="5"/>
        <v>0</v>
      </c>
      <c r="N31" s="142">
        <f t="shared" si="5"/>
        <v>0</v>
      </c>
      <c r="O31" s="144">
        <f>SUM(C31:N31)</f>
        <v>0</v>
      </c>
      <c r="P31" s="83"/>
      <c r="R31" s="445" t="str">
        <f>'Startup-Costs'!A51</f>
        <v>Total</v>
      </c>
      <c r="S31" s="445">
        <f>'Startup-Costs'!B51</f>
        <v>0</v>
      </c>
      <c r="T31" s="445">
        <f>'Startup-Costs'!C51</f>
        <v>0</v>
      </c>
      <c r="U31" s="444"/>
      <c r="V31" s="444"/>
      <c r="W31" s="444"/>
      <c r="X31" s="444"/>
      <c r="Y31" s="444"/>
    </row>
    <row r="32" spans="1:25">
      <c r="A32" s="82"/>
      <c r="B32" s="85" t="s">
        <v>396</v>
      </c>
      <c r="C32" s="142">
        <f>(C12+C13)*($M$1)</f>
        <v>0</v>
      </c>
      <c r="D32" s="142">
        <f t="shared" ref="D32:N32" si="6">(D12+D13)*($M$1)</f>
        <v>0</v>
      </c>
      <c r="E32" s="142">
        <f t="shared" si="6"/>
        <v>0</v>
      </c>
      <c r="F32" s="142">
        <f t="shared" si="6"/>
        <v>0</v>
      </c>
      <c r="G32" s="142">
        <f t="shared" si="6"/>
        <v>0</v>
      </c>
      <c r="H32" s="142">
        <f t="shared" si="6"/>
        <v>0</v>
      </c>
      <c r="I32" s="142">
        <f t="shared" si="6"/>
        <v>0</v>
      </c>
      <c r="J32" s="142">
        <f t="shared" si="6"/>
        <v>0</v>
      </c>
      <c r="K32" s="142">
        <f t="shared" si="6"/>
        <v>0</v>
      </c>
      <c r="L32" s="142">
        <f t="shared" si="6"/>
        <v>0</v>
      </c>
      <c r="M32" s="142">
        <f t="shared" si="6"/>
        <v>0</v>
      </c>
      <c r="N32" s="142">
        <f t="shared" si="6"/>
        <v>0</v>
      </c>
      <c r="O32" s="144">
        <f t="shared" si="3"/>
        <v>0</v>
      </c>
      <c r="P32" s="83"/>
      <c r="R32" s="444"/>
      <c r="S32" s="444"/>
      <c r="T32" s="444"/>
      <c r="U32" s="444"/>
      <c r="V32" s="444"/>
      <c r="W32" s="444"/>
      <c r="X32" s="444"/>
      <c r="Y32" s="444"/>
    </row>
    <row r="33" spans="1:25">
      <c r="A33" s="82"/>
      <c r="B33" s="85" t="s">
        <v>397</v>
      </c>
      <c r="C33" s="143"/>
      <c r="D33" s="143"/>
      <c r="E33" s="143"/>
      <c r="F33" s="143"/>
      <c r="G33" s="143"/>
      <c r="H33" s="143"/>
      <c r="I33" s="143"/>
      <c r="J33" s="143"/>
      <c r="K33" s="143"/>
      <c r="L33" s="143"/>
      <c r="M33" s="143"/>
      <c r="N33" s="143"/>
      <c r="O33" s="144">
        <f t="shared" si="3"/>
        <v>0</v>
      </c>
      <c r="P33" s="83"/>
      <c r="R33" s="444" t="str">
        <f>'Startup-Costs'!A53</f>
        <v>OTHER EXPENSES</v>
      </c>
      <c r="S33" s="444" t="str">
        <f>'Startup-Costs'!B53</f>
        <v xml:space="preserve"> </v>
      </c>
      <c r="T33" s="444" t="str">
        <f>'Startup-Costs'!C53</f>
        <v>AMOUNT</v>
      </c>
      <c r="U33" s="444"/>
      <c r="V33" s="444"/>
      <c r="W33" s="444"/>
      <c r="X33" s="444"/>
      <c r="Y33" s="444"/>
    </row>
    <row r="34" spans="1:25">
      <c r="A34" s="82"/>
      <c r="B34" s="85" t="s">
        <v>398</v>
      </c>
      <c r="C34" s="143"/>
      <c r="D34" s="143"/>
      <c r="E34" s="143"/>
      <c r="F34" s="143"/>
      <c r="G34" s="143"/>
      <c r="H34" s="143"/>
      <c r="I34" s="143"/>
      <c r="J34" s="143"/>
      <c r="K34" s="143"/>
      <c r="L34" s="143"/>
      <c r="M34" s="143"/>
      <c r="N34" s="143"/>
      <c r="O34" s="144">
        <f t="shared" si="3"/>
        <v>0</v>
      </c>
      <c r="P34" s="83"/>
      <c r="R34" s="445" t="str">
        <f>'Startup-Costs'!A54</f>
        <v>Other expense 2</v>
      </c>
      <c r="S34" s="445">
        <f>'Startup-Costs'!B54</f>
        <v>0</v>
      </c>
      <c r="T34" s="445">
        <f>'Startup-Costs'!C54</f>
        <v>0</v>
      </c>
      <c r="U34" s="444"/>
      <c r="V34" s="444"/>
      <c r="W34" s="444"/>
      <c r="X34" s="444"/>
      <c r="Y34" s="444"/>
    </row>
    <row r="35" spans="1:25" ht="15.75" thickBot="1">
      <c r="A35" s="82"/>
      <c r="B35" s="86" t="s">
        <v>399</v>
      </c>
      <c r="C35" s="145">
        <f t="shared" ref="C35:N35" si="7">SUM(C18:C34)</f>
        <v>0</v>
      </c>
      <c r="D35" s="145">
        <f t="shared" si="7"/>
        <v>0</v>
      </c>
      <c r="E35" s="145">
        <f t="shared" si="7"/>
        <v>0</v>
      </c>
      <c r="F35" s="145">
        <f t="shared" si="7"/>
        <v>0</v>
      </c>
      <c r="G35" s="145">
        <f t="shared" si="7"/>
        <v>0</v>
      </c>
      <c r="H35" s="145">
        <f t="shared" si="7"/>
        <v>0</v>
      </c>
      <c r="I35" s="145">
        <f t="shared" si="7"/>
        <v>0</v>
      </c>
      <c r="J35" s="145">
        <f t="shared" si="7"/>
        <v>0</v>
      </c>
      <c r="K35" s="145">
        <f t="shared" si="7"/>
        <v>0</v>
      </c>
      <c r="L35" s="145">
        <f t="shared" si="7"/>
        <v>0</v>
      </c>
      <c r="M35" s="145">
        <f t="shared" si="7"/>
        <v>0</v>
      </c>
      <c r="N35" s="145">
        <f t="shared" si="7"/>
        <v>0</v>
      </c>
      <c r="O35" s="145">
        <f t="shared" si="3"/>
        <v>0</v>
      </c>
      <c r="P35" s="83"/>
      <c r="R35" s="445" t="str">
        <f>'Startup-Costs'!A55</f>
        <v>Other expense 2</v>
      </c>
      <c r="S35" s="445">
        <f>'Startup-Costs'!B55</f>
        <v>0</v>
      </c>
      <c r="T35" s="445">
        <f>'Startup-Costs'!C55</f>
        <v>0</v>
      </c>
      <c r="U35" s="444"/>
      <c r="V35" s="444"/>
      <c r="W35" s="444"/>
      <c r="X35" s="444"/>
      <c r="Y35" s="444"/>
    </row>
    <row r="36" spans="1:25" ht="15.75" thickTop="1">
      <c r="A36" s="82"/>
      <c r="B36" s="87"/>
      <c r="C36" s="146"/>
      <c r="D36" s="146"/>
      <c r="E36" s="146"/>
      <c r="F36" s="146"/>
      <c r="G36" s="146"/>
      <c r="H36" s="146"/>
      <c r="I36" s="146"/>
      <c r="J36" s="146"/>
      <c r="K36" s="146"/>
      <c r="L36" s="146"/>
      <c r="M36" s="146"/>
      <c r="N36" s="146"/>
      <c r="O36" s="147"/>
      <c r="P36" s="83"/>
      <c r="R36" s="445" t="str">
        <f>'Startup-Costs'!A56</f>
        <v>Total</v>
      </c>
      <c r="S36" s="445">
        <f>'Startup-Costs'!B56</f>
        <v>0</v>
      </c>
      <c r="T36" s="445">
        <f>'Startup-Costs'!C56</f>
        <v>0</v>
      </c>
      <c r="U36" s="444"/>
      <c r="V36" s="444"/>
      <c r="W36" s="444"/>
      <c r="X36" s="444"/>
      <c r="Y36" s="444"/>
    </row>
    <row r="37" spans="1:25">
      <c r="A37" s="82"/>
      <c r="B37" s="84" t="s">
        <v>400</v>
      </c>
      <c r="C37" s="142">
        <f t="shared" ref="C37:N37" si="8">SUM(C15-C35)</f>
        <v>0</v>
      </c>
      <c r="D37" s="142">
        <f t="shared" si="8"/>
        <v>0</v>
      </c>
      <c r="E37" s="142">
        <f t="shared" si="8"/>
        <v>0</v>
      </c>
      <c r="F37" s="142">
        <f t="shared" si="8"/>
        <v>0</v>
      </c>
      <c r="G37" s="142">
        <f t="shared" si="8"/>
        <v>0</v>
      </c>
      <c r="H37" s="142">
        <f t="shared" si="8"/>
        <v>0</v>
      </c>
      <c r="I37" s="142">
        <f t="shared" si="8"/>
        <v>0</v>
      </c>
      <c r="J37" s="142">
        <f t="shared" si="8"/>
        <v>0</v>
      </c>
      <c r="K37" s="142">
        <f t="shared" si="8"/>
        <v>0</v>
      </c>
      <c r="L37" s="142">
        <f t="shared" si="8"/>
        <v>0</v>
      </c>
      <c r="M37" s="142">
        <f t="shared" si="8"/>
        <v>0</v>
      </c>
      <c r="N37" s="142">
        <f t="shared" si="8"/>
        <v>0</v>
      </c>
      <c r="O37" s="144"/>
      <c r="P37" s="83"/>
      <c r="R37" s="444"/>
      <c r="S37" s="444"/>
      <c r="T37" s="444"/>
      <c r="U37" s="444"/>
      <c r="V37" s="444"/>
      <c r="W37" s="444"/>
      <c r="X37" s="444"/>
      <c r="Y37" s="444"/>
    </row>
    <row r="38" spans="1:25">
      <c r="A38" s="82"/>
      <c r="B38" s="88"/>
      <c r="C38" s="142" t="s">
        <v>6</v>
      </c>
      <c r="D38" s="142"/>
      <c r="E38" s="142"/>
      <c r="F38" s="142"/>
      <c r="G38" s="142"/>
      <c r="H38" s="142"/>
      <c r="I38" s="142"/>
      <c r="J38" s="142"/>
      <c r="K38" s="142"/>
      <c r="L38" s="142"/>
      <c r="M38" s="142"/>
      <c r="N38" s="142"/>
      <c r="O38" s="144"/>
      <c r="P38" s="83"/>
      <c r="R38" s="444"/>
      <c r="S38" s="444"/>
      <c r="T38" s="444"/>
      <c r="U38" s="444"/>
      <c r="V38" s="444"/>
      <c r="W38" s="444"/>
      <c r="X38" s="444"/>
      <c r="Y38" s="444"/>
    </row>
    <row r="39" spans="1:25">
      <c r="A39" s="82"/>
      <c r="B39" s="84" t="s">
        <v>401</v>
      </c>
      <c r="C39" s="143"/>
      <c r="D39" s="142">
        <f t="shared" ref="D39:N39" si="9">C41</f>
        <v>0</v>
      </c>
      <c r="E39" s="142">
        <f t="shared" si="9"/>
        <v>0</v>
      </c>
      <c r="F39" s="142">
        <f t="shared" si="9"/>
        <v>0</v>
      </c>
      <c r="G39" s="142">
        <f t="shared" si="9"/>
        <v>0</v>
      </c>
      <c r="H39" s="142">
        <f t="shared" si="9"/>
        <v>0</v>
      </c>
      <c r="I39" s="142">
        <f t="shared" si="9"/>
        <v>0</v>
      </c>
      <c r="J39" s="142">
        <f t="shared" si="9"/>
        <v>0</v>
      </c>
      <c r="K39" s="142">
        <f t="shared" si="9"/>
        <v>0</v>
      </c>
      <c r="L39" s="142">
        <f t="shared" si="9"/>
        <v>0</v>
      </c>
      <c r="M39" s="142">
        <f t="shared" si="9"/>
        <v>0</v>
      </c>
      <c r="N39" s="142">
        <f t="shared" si="9"/>
        <v>0</v>
      </c>
      <c r="O39" s="142"/>
      <c r="P39" s="83"/>
      <c r="R39" s="444"/>
      <c r="S39" s="444"/>
      <c r="T39" s="444"/>
      <c r="U39" s="444"/>
      <c r="V39" s="444"/>
      <c r="W39" s="444"/>
      <c r="X39" s="444"/>
      <c r="Y39" s="444"/>
    </row>
    <row r="40" spans="1:25">
      <c r="A40" s="82"/>
      <c r="B40" s="88"/>
      <c r="C40" s="142"/>
      <c r="D40" s="142"/>
      <c r="E40" s="142"/>
      <c r="F40" s="142"/>
      <c r="G40" s="142"/>
      <c r="H40" s="142"/>
      <c r="I40" s="142"/>
      <c r="J40" s="142"/>
      <c r="K40" s="142"/>
      <c r="L40" s="142"/>
      <c r="M40" s="142"/>
      <c r="N40" s="142"/>
      <c r="O40" s="144"/>
      <c r="P40" s="83"/>
      <c r="R40" s="444"/>
      <c r="S40" s="444"/>
      <c r="T40" s="444"/>
      <c r="U40" s="444"/>
      <c r="V40" s="444"/>
      <c r="W40" s="444"/>
      <c r="X40" s="444"/>
      <c r="Y40" s="444"/>
    </row>
    <row r="41" spans="1:25">
      <c r="A41" s="82"/>
      <c r="B41" s="84" t="s">
        <v>402</v>
      </c>
      <c r="C41" s="144">
        <f t="shared" ref="C41:N41" si="10">SUM(C39+C37)</f>
        <v>0</v>
      </c>
      <c r="D41" s="144">
        <f t="shared" si="10"/>
        <v>0</v>
      </c>
      <c r="E41" s="144">
        <f t="shared" si="10"/>
        <v>0</v>
      </c>
      <c r="F41" s="144">
        <f t="shared" si="10"/>
        <v>0</v>
      </c>
      <c r="G41" s="144">
        <f t="shared" si="10"/>
        <v>0</v>
      </c>
      <c r="H41" s="144">
        <f t="shared" si="10"/>
        <v>0</v>
      </c>
      <c r="I41" s="144">
        <f t="shared" si="10"/>
        <v>0</v>
      </c>
      <c r="J41" s="144">
        <f t="shared" si="10"/>
        <v>0</v>
      </c>
      <c r="K41" s="144">
        <f t="shared" si="10"/>
        <v>0</v>
      </c>
      <c r="L41" s="144">
        <f t="shared" si="10"/>
        <v>0</v>
      </c>
      <c r="M41" s="144">
        <f t="shared" si="10"/>
        <v>0</v>
      </c>
      <c r="N41" s="144">
        <f t="shared" si="10"/>
        <v>0</v>
      </c>
      <c r="O41" s="144">
        <f>N41</f>
        <v>0</v>
      </c>
      <c r="P41" s="83"/>
    </row>
    <row r="42" spans="1:25">
      <c r="A42" s="82"/>
      <c r="B42" s="88"/>
      <c r="C42" s="142"/>
      <c r="D42" s="142"/>
      <c r="E42" s="142"/>
      <c r="F42" s="142"/>
      <c r="G42" s="142"/>
      <c r="H42" s="142"/>
      <c r="I42" s="142"/>
      <c r="J42" s="142"/>
      <c r="K42" s="142"/>
      <c r="L42" s="142"/>
      <c r="M42" s="142"/>
      <c r="N42" s="142"/>
      <c r="O42" s="144"/>
      <c r="P42" s="83"/>
    </row>
    <row r="43" spans="1:25" s="9" customFormat="1" ht="15.75" thickBot="1">
      <c r="A43" s="77"/>
      <c r="B43" s="89"/>
      <c r="C43" s="148"/>
      <c r="D43" s="148"/>
      <c r="E43" s="148"/>
      <c r="F43" s="148"/>
      <c r="G43" s="148"/>
      <c r="H43" s="148"/>
      <c r="I43" s="148"/>
      <c r="J43" s="148"/>
      <c r="K43" s="148"/>
      <c r="L43" s="148"/>
      <c r="M43" s="148"/>
      <c r="N43" s="148"/>
      <c r="O43" s="148"/>
      <c r="P43" s="79"/>
    </row>
    <row r="44" spans="1:25" s="9" customFormat="1">
      <c r="C44" s="149"/>
      <c r="D44" s="149"/>
      <c r="E44" s="149"/>
      <c r="F44" s="149"/>
      <c r="G44" s="149"/>
      <c r="H44" s="149"/>
      <c r="I44" s="149"/>
      <c r="J44" s="149"/>
      <c r="K44" s="149"/>
      <c r="L44" s="149"/>
      <c r="M44" s="149"/>
      <c r="N44" s="149"/>
      <c r="O44" s="149"/>
    </row>
    <row r="45" spans="1:25" s="9" customFormat="1" ht="15.75">
      <c r="C45" s="149"/>
      <c r="D45" s="149"/>
      <c r="E45" s="149"/>
      <c r="F45" s="149"/>
      <c r="G45" s="149"/>
      <c r="H45" s="149"/>
      <c r="I45" s="149"/>
      <c r="J45" s="149"/>
      <c r="L45" s="149"/>
      <c r="M45" s="397" t="s">
        <v>403</v>
      </c>
      <c r="N45" s="223"/>
      <c r="O45" s="223">
        <f>ROUNDUP(IF(MIN((C41:N41))&lt;0,-(MIN((C41:N41))*1.2),O35/12),-3)</f>
        <v>0</v>
      </c>
      <c r="R45" s="380" t="s">
        <v>404</v>
      </c>
      <c r="S45" s="394"/>
      <c r="T45" s="393"/>
    </row>
    <row r="46" spans="1:25" s="9" customFormat="1">
      <c r="B46" s="398" t="s">
        <v>405</v>
      </c>
      <c r="C46" s="229">
        <f>O20+O21+O22+O24+O26+O31+'Financial Report'!D36</f>
        <v>0</v>
      </c>
      <c r="D46" s="149"/>
      <c r="E46" s="149"/>
      <c r="F46" s="149"/>
      <c r="G46" s="149"/>
      <c r="H46" s="149"/>
      <c r="I46" s="149"/>
      <c r="J46" s="149"/>
      <c r="K46" s="149"/>
      <c r="L46" s="149"/>
      <c r="M46" s="149"/>
      <c r="N46" s="149"/>
      <c r="O46" s="149"/>
    </row>
    <row r="47" spans="1:25" s="9" customFormat="1">
      <c r="B47" s="398" t="s">
        <v>406</v>
      </c>
      <c r="C47" s="229">
        <f>IF(ISERR((O18+O19+O23+O27+O28+O32+O33+O34)/(E2+E3+E4)),0,(O18+O19+O23+O27+O28+O32+O33+O34)/(E2+E3+E4))</f>
        <v>0</v>
      </c>
      <c r="D47" s="149"/>
      <c r="E47" s="149"/>
      <c r="F47" s="149"/>
      <c r="G47" s="149"/>
      <c r="H47" s="149"/>
      <c r="I47" s="149"/>
      <c r="J47" s="149"/>
      <c r="K47" s="149"/>
      <c r="L47" s="149"/>
      <c r="M47" s="149"/>
      <c r="N47" s="149"/>
      <c r="O47" s="149"/>
    </row>
    <row r="48" spans="1:25" s="9" customFormat="1">
      <c r="B48" s="398" t="s">
        <v>407</v>
      </c>
      <c r="C48" s="229">
        <f>IF(ISERR(F5/(E2+E3+E4)),0,F5/(E2+E3+E4))</f>
        <v>12</v>
      </c>
      <c r="D48" s="149"/>
      <c r="E48" s="149"/>
      <c r="F48" s="149"/>
      <c r="G48" s="149"/>
      <c r="H48" s="149"/>
      <c r="I48" s="149"/>
      <c r="J48" s="149"/>
      <c r="K48" s="149"/>
      <c r="L48" s="149"/>
      <c r="M48" s="149"/>
      <c r="N48" s="149"/>
      <c r="O48" s="149"/>
    </row>
    <row r="49" spans="2:15" s="9" customFormat="1">
      <c r="B49" s="230" t="s">
        <v>408</v>
      </c>
      <c r="C49" s="231">
        <f>IF(ISERR(C46/(C48-C47)),0,C46/(C48-C47))</f>
        <v>0</v>
      </c>
      <c r="D49" s="149"/>
      <c r="E49" s="149"/>
      <c r="F49" s="149"/>
      <c r="G49" s="149"/>
      <c r="H49" s="149"/>
      <c r="I49" s="149"/>
      <c r="J49" s="149"/>
      <c r="K49" s="149"/>
      <c r="L49" s="149"/>
      <c r="M49" s="149"/>
      <c r="N49" s="149"/>
      <c r="O49" s="149"/>
    </row>
    <row r="50" spans="2:15" s="9" customFormat="1">
      <c r="C50" s="239">
        <f>C49-C9</f>
        <v>0</v>
      </c>
      <c r="D50" s="239">
        <f t="shared" ref="D50:N50" si="11">C50-D9</f>
        <v>0</v>
      </c>
      <c r="E50" s="239">
        <f t="shared" si="11"/>
        <v>0</v>
      </c>
      <c r="F50" s="239">
        <f t="shared" si="11"/>
        <v>0</v>
      </c>
      <c r="G50" s="239">
        <f t="shared" si="11"/>
        <v>0</v>
      </c>
      <c r="H50" s="239">
        <f t="shared" si="11"/>
        <v>0</v>
      </c>
      <c r="I50" s="239">
        <f t="shared" si="11"/>
        <v>0</v>
      </c>
      <c r="J50" s="239">
        <f t="shared" si="11"/>
        <v>0</v>
      </c>
      <c r="K50" s="239">
        <f t="shared" si="11"/>
        <v>0</v>
      </c>
      <c r="L50" s="239">
        <f t="shared" si="11"/>
        <v>0</v>
      </c>
      <c r="M50" s="239">
        <f t="shared" si="11"/>
        <v>0</v>
      </c>
      <c r="N50" s="239">
        <f t="shared" si="11"/>
        <v>0</v>
      </c>
      <c r="O50" s="149"/>
    </row>
    <row r="51" spans="2:15" s="9" customFormat="1">
      <c r="C51" s="149"/>
      <c r="D51" s="149"/>
      <c r="E51" s="149"/>
      <c r="F51" s="149"/>
      <c r="G51" s="149"/>
      <c r="H51" s="149"/>
      <c r="I51" s="149"/>
      <c r="J51" s="149"/>
      <c r="K51" s="149"/>
      <c r="L51" s="149"/>
      <c r="M51" s="149"/>
      <c r="N51" s="149"/>
      <c r="O51" s="149"/>
    </row>
    <row r="52" spans="2:15" s="9" customFormat="1">
      <c r="C52" s="149"/>
      <c r="D52" s="149"/>
      <c r="E52" s="149"/>
      <c r="F52" s="149"/>
      <c r="G52" s="149"/>
      <c r="H52" s="149"/>
      <c r="I52" s="149"/>
      <c r="J52" s="149"/>
      <c r="K52" s="149"/>
      <c r="L52" s="149"/>
      <c r="M52" s="149"/>
      <c r="N52" s="149"/>
      <c r="O52" s="149"/>
    </row>
    <row r="53" spans="2:15" s="9" customFormat="1">
      <c r="C53" s="149"/>
      <c r="D53" s="149"/>
      <c r="E53" s="149"/>
      <c r="F53" s="149"/>
      <c r="G53" s="149"/>
      <c r="H53" s="149"/>
      <c r="I53" s="149"/>
      <c r="J53" s="149"/>
      <c r="K53" s="149"/>
      <c r="L53" s="149"/>
      <c r="M53" s="149"/>
      <c r="N53" s="149"/>
      <c r="O53" s="149"/>
    </row>
    <row r="54" spans="2:15" s="9" customFormat="1">
      <c r="C54" s="149"/>
      <c r="D54" s="149"/>
      <c r="E54" s="149"/>
      <c r="F54" s="149"/>
      <c r="G54" s="149"/>
      <c r="H54" s="149"/>
      <c r="I54" s="149"/>
      <c r="J54" s="149"/>
      <c r="K54" s="149"/>
      <c r="L54" s="149"/>
      <c r="M54" s="149"/>
      <c r="N54" s="149"/>
      <c r="O54" s="149"/>
    </row>
    <row r="55" spans="2:15" s="9" customFormat="1">
      <c r="C55" s="149"/>
      <c r="D55" s="149"/>
      <c r="E55" s="149"/>
      <c r="F55" s="149"/>
      <c r="G55" s="149"/>
      <c r="H55" s="149"/>
      <c r="I55" s="149"/>
      <c r="J55" s="149"/>
      <c r="K55" s="149"/>
      <c r="L55" s="149"/>
      <c r="M55" s="149"/>
      <c r="N55" s="149"/>
      <c r="O55" s="149"/>
    </row>
    <row r="56" spans="2:15" s="9" customFormat="1">
      <c r="C56" s="149"/>
      <c r="D56" s="149"/>
      <c r="E56" s="149"/>
      <c r="F56" s="149"/>
      <c r="G56" s="149"/>
      <c r="H56" s="149"/>
      <c r="I56" s="149"/>
      <c r="J56" s="149"/>
      <c r="K56" s="149"/>
      <c r="L56" s="149"/>
      <c r="M56" s="149"/>
      <c r="N56" s="149"/>
      <c r="O56" s="149"/>
    </row>
    <row r="57" spans="2:15" s="9" customFormat="1">
      <c r="C57" s="149"/>
      <c r="D57" s="149"/>
      <c r="E57" s="149"/>
      <c r="F57" s="149"/>
      <c r="G57" s="149"/>
      <c r="H57" s="149"/>
      <c r="I57" s="149"/>
      <c r="J57" s="149"/>
      <c r="K57" s="149"/>
      <c r="L57" s="149"/>
      <c r="M57" s="149"/>
      <c r="N57" s="149"/>
      <c r="O57" s="149"/>
    </row>
    <row r="58" spans="2:15" s="9" customFormat="1">
      <c r="C58" s="149"/>
      <c r="D58" s="149"/>
      <c r="E58" s="149"/>
      <c r="F58" s="149"/>
      <c r="G58" s="149"/>
      <c r="H58" s="149"/>
      <c r="I58" s="149"/>
      <c r="J58" s="149"/>
      <c r="K58" s="149"/>
      <c r="L58" s="149"/>
      <c r="M58" s="149"/>
      <c r="N58" s="149"/>
      <c r="O58" s="149"/>
    </row>
    <row r="59" spans="2:15" s="9" customFormat="1">
      <c r="C59" s="149"/>
      <c r="D59" s="149"/>
      <c r="E59" s="149"/>
      <c r="F59" s="149"/>
      <c r="G59" s="149"/>
      <c r="H59" s="149"/>
      <c r="I59" s="149"/>
      <c r="J59" s="149"/>
      <c r="K59" s="149"/>
      <c r="L59" s="149"/>
      <c r="M59" s="149"/>
      <c r="N59" s="149"/>
      <c r="O59" s="149"/>
    </row>
    <row r="60" spans="2:15" s="9" customFormat="1">
      <c r="C60" s="149"/>
      <c r="D60" s="149"/>
      <c r="E60" s="149"/>
      <c r="F60" s="149"/>
      <c r="G60" s="149"/>
      <c r="H60" s="149"/>
      <c r="I60" s="149"/>
      <c r="J60" s="149"/>
      <c r="K60" s="149"/>
      <c r="L60" s="149"/>
      <c r="M60" s="149"/>
      <c r="N60" s="149"/>
      <c r="O60" s="149"/>
    </row>
    <row r="61" spans="2:15" s="9" customFormat="1">
      <c r="C61" s="149"/>
      <c r="D61" s="149"/>
      <c r="E61" s="149"/>
      <c r="F61" s="149"/>
      <c r="G61" s="149"/>
      <c r="H61" s="149"/>
      <c r="I61" s="149"/>
      <c r="J61" s="149"/>
      <c r="K61" s="149"/>
      <c r="L61" s="149"/>
      <c r="M61" s="149"/>
      <c r="N61" s="149"/>
      <c r="O61" s="149"/>
    </row>
    <row r="62" spans="2:15" s="9" customFormat="1">
      <c r="C62" s="149"/>
      <c r="D62" s="149"/>
      <c r="E62" s="149"/>
      <c r="F62" s="149"/>
      <c r="G62" s="149"/>
      <c r="H62" s="149"/>
      <c r="I62" s="149"/>
      <c r="J62" s="149"/>
      <c r="K62" s="149"/>
      <c r="L62" s="149"/>
      <c r="M62" s="149"/>
      <c r="N62" s="149"/>
      <c r="O62" s="149"/>
    </row>
    <row r="63" spans="2:15" s="9" customFormat="1">
      <c r="C63" s="149"/>
      <c r="D63" s="149"/>
      <c r="E63" s="149"/>
      <c r="F63" s="149"/>
      <c r="G63" s="149"/>
      <c r="H63" s="149"/>
      <c r="I63" s="149"/>
      <c r="J63" s="149"/>
      <c r="K63" s="149"/>
      <c r="L63" s="149"/>
      <c r="M63" s="149"/>
      <c r="N63" s="149"/>
      <c r="O63" s="149"/>
    </row>
    <row r="64" spans="2:15" s="9" customFormat="1">
      <c r="C64" s="149"/>
      <c r="D64" s="149"/>
      <c r="E64" s="149"/>
      <c r="F64" s="149"/>
      <c r="G64" s="149"/>
      <c r="H64" s="149"/>
      <c r="I64" s="149"/>
      <c r="J64" s="149"/>
      <c r="K64" s="149"/>
      <c r="L64" s="149"/>
      <c r="M64" s="149"/>
      <c r="N64" s="149"/>
      <c r="O64" s="149"/>
    </row>
    <row r="65" spans="3:15" s="9" customFormat="1">
      <c r="C65" s="149"/>
      <c r="D65" s="149"/>
      <c r="E65" s="149"/>
      <c r="F65" s="149"/>
      <c r="G65" s="149"/>
      <c r="H65" s="149"/>
      <c r="I65" s="149"/>
      <c r="J65" s="149"/>
      <c r="K65" s="149"/>
      <c r="L65" s="149"/>
      <c r="M65" s="149"/>
      <c r="N65" s="149"/>
      <c r="O65" s="149"/>
    </row>
    <row r="66" spans="3:15" s="9" customFormat="1">
      <c r="C66" s="149"/>
      <c r="D66" s="149"/>
      <c r="E66" s="149"/>
      <c r="F66" s="149"/>
      <c r="G66" s="149"/>
      <c r="H66" s="149"/>
      <c r="I66" s="149"/>
      <c r="J66" s="149"/>
      <c r="K66" s="149"/>
      <c r="L66" s="149"/>
      <c r="M66" s="149"/>
      <c r="N66" s="149"/>
      <c r="O66" s="149"/>
    </row>
    <row r="67" spans="3:15" s="9" customFormat="1">
      <c r="C67" s="149"/>
      <c r="D67" s="149"/>
      <c r="E67" s="149"/>
      <c r="F67" s="149"/>
      <c r="G67" s="149"/>
      <c r="H67" s="149"/>
      <c r="I67" s="149"/>
      <c r="J67" s="149"/>
      <c r="K67" s="149"/>
      <c r="L67" s="149"/>
      <c r="M67" s="149"/>
      <c r="N67" s="149"/>
      <c r="O67" s="149"/>
    </row>
    <row r="68" spans="3:15" s="9" customFormat="1">
      <c r="C68" s="149"/>
      <c r="D68" s="149"/>
      <c r="E68" s="149"/>
      <c r="F68" s="149"/>
      <c r="G68" s="149"/>
      <c r="H68" s="149"/>
      <c r="I68" s="149"/>
      <c r="J68" s="149"/>
      <c r="K68" s="149"/>
      <c r="L68" s="149"/>
      <c r="M68" s="149"/>
      <c r="N68" s="149"/>
      <c r="O68" s="149"/>
    </row>
    <row r="69" spans="3:15" s="9" customFormat="1">
      <c r="C69" s="149"/>
      <c r="D69" s="149"/>
      <c r="E69" s="149"/>
      <c r="F69" s="149"/>
      <c r="G69" s="149"/>
      <c r="H69" s="149"/>
      <c r="I69" s="149"/>
      <c r="J69" s="149"/>
      <c r="K69" s="149"/>
      <c r="L69" s="149"/>
      <c r="M69" s="149"/>
      <c r="N69" s="149"/>
      <c r="O69" s="149"/>
    </row>
    <row r="70" spans="3:15" s="9" customFormat="1">
      <c r="C70" s="149"/>
      <c r="D70" s="149"/>
      <c r="E70" s="149"/>
      <c r="F70" s="149"/>
      <c r="G70" s="149"/>
      <c r="H70" s="149"/>
      <c r="I70" s="149"/>
      <c r="J70" s="149"/>
      <c r="K70" s="149"/>
      <c r="L70" s="149"/>
      <c r="M70" s="149"/>
      <c r="N70" s="149"/>
      <c r="O70" s="149"/>
    </row>
    <row r="71" spans="3:15" s="9" customFormat="1">
      <c r="C71" s="149"/>
      <c r="D71" s="149"/>
      <c r="E71" s="149"/>
      <c r="F71" s="149"/>
      <c r="G71" s="149"/>
      <c r="H71" s="149"/>
      <c r="I71" s="149"/>
      <c r="J71" s="149"/>
      <c r="K71" s="149"/>
      <c r="L71" s="149"/>
      <c r="M71" s="149"/>
      <c r="N71" s="149"/>
      <c r="O71" s="149"/>
    </row>
    <row r="72" spans="3:15" s="9" customFormat="1">
      <c r="C72" s="149"/>
      <c r="D72" s="149"/>
      <c r="E72" s="149"/>
      <c r="F72" s="149"/>
      <c r="G72" s="149"/>
      <c r="H72" s="149"/>
      <c r="I72" s="149"/>
      <c r="J72" s="149"/>
      <c r="K72" s="149"/>
      <c r="L72" s="149"/>
      <c r="M72" s="149"/>
      <c r="N72" s="149"/>
      <c r="O72" s="149"/>
    </row>
    <row r="73" spans="3:15" s="9" customFormat="1">
      <c r="C73" s="149"/>
      <c r="D73" s="149"/>
      <c r="E73" s="149"/>
      <c r="F73" s="149"/>
      <c r="G73" s="149"/>
      <c r="H73" s="149"/>
      <c r="I73" s="149"/>
      <c r="J73" s="149"/>
      <c r="K73" s="149"/>
      <c r="L73" s="149"/>
      <c r="M73" s="149"/>
      <c r="N73" s="149"/>
      <c r="O73" s="149"/>
    </row>
    <row r="74" spans="3:15" s="9" customFormat="1">
      <c r="C74" s="149"/>
      <c r="D74" s="149"/>
      <c r="E74" s="149"/>
      <c r="F74" s="149"/>
      <c r="G74" s="149"/>
      <c r="H74" s="149"/>
      <c r="I74" s="149"/>
      <c r="J74" s="149"/>
      <c r="K74" s="149"/>
      <c r="L74" s="149"/>
      <c r="M74" s="149"/>
      <c r="N74" s="149"/>
      <c r="O74" s="149"/>
    </row>
    <row r="75" spans="3:15" s="9" customFormat="1">
      <c r="C75" s="149"/>
      <c r="D75" s="149"/>
      <c r="E75" s="149"/>
      <c r="F75" s="149"/>
      <c r="G75" s="149"/>
      <c r="H75" s="149"/>
      <c r="I75" s="149"/>
      <c r="J75" s="149"/>
      <c r="K75" s="149"/>
      <c r="L75" s="149"/>
      <c r="M75" s="149"/>
      <c r="N75" s="149"/>
      <c r="O75" s="149"/>
    </row>
    <row r="76" spans="3:15" s="9" customFormat="1">
      <c r="C76" s="149"/>
      <c r="D76" s="149"/>
      <c r="E76" s="149"/>
      <c r="F76" s="149"/>
      <c r="G76" s="149"/>
      <c r="H76" s="149"/>
      <c r="I76" s="149"/>
      <c r="J76" s="149"/>
      <c r="K76" s="149"/>
      <c r="L76" s="149"/>
      <c r="M76" s="149"/>
      <c r="N76" s="149"/>
      <c r="O76" s="149"/>
    </row>
    <row r="77" spans="3:15" s="9" customFormat="1">
      <c r="C77" s="149"/>
      <c r="D77" s="149"/>
      <c r="E77" s="149"/>
      <c r="F77" s="149"/>
      <c r="G77" s="149"/>
      <c r="H77" s="149"/>
      <c r="I77" s="149"/>
      <c r="J77" s="149"/>
      <c r="K77" s="149"/>
      <c r="L77" s="149"/>
      <c r="M77" s="149"/>
      <c r="N77" s="149"/>
      <c r="O77" s="149"/>
    </row>
    <row r="78" spans="3:15" s="9" customFormat="1">
      <c r="C78" s="149"/>
      <c r="D78" s="149"/>
      <c r="E78" s="149"/>
      <c r="F78" s="149"/>
      <c r="G78" s="149"/>
      <c r="H78" s="149"/>
      <c r="I78" s="149"/>
      <c r="J78" s="149"/>
      <c r="K78" s="149"/>
      <c r="L78" s="149"/>
      <c r="M78" s="149"/>
      <c r="N78" s="149"/>
      <c r="O78" s="149"/>
    </row>
    <row r="79" spans="3:15" s="9" customFormat="1">
      <c r="C79" s="149"/>
      <c r="D79" s="149"/>
      <c r="E79" s="149"/>
      <c r="F79" s="149"/>
      <c r="G79" s="149"/>
      <c r="H79" s="149"/>
      <c r="I79" s="149"/>
      <c r="J79" s="149"/>
      <c r="K79" s="149"/>
      <c r="L79" s="149"/>
      <c r="M79" s="149"/>
      <c r="N79" s="149"/>
      <c r="O79" s="149"/>
    </row>
    <row r="80" spans="3:15" s="9" customFormat="1">
      <c r="C80" s="149"/>
      <c r="D80" s="149"/>
      <c r="E80" s="149"/>
      <c r="F80" s="149"/>
      <c r="G80" s="149"/>
      <c r="H80" s="149"/>
      <c r="I80" s="149"/>
      <c r="J80" s="149"/>
      <c r="K80" s="149"/>
      <c r="L80" s="149"/>
      <c r="M80" s="149"/>
      <c r="N80" s="149"/>
      <c r="O80" s="149"/>
    </row>
    <row r="81" spans="3:15" s="9" customFormat="1">
      <c r="C81" s="149"/>
      <c r="D81" s="149"/>
      <c r="E81" s="149"/>
      <c r="F81" s="149"/>
      <c r="G81" s="149"/>
      <c r="H81" s="149"/>
      <c r="I81" s="149"/>
      <c r="J81" s="149"/>
      <c r="K81" s="149"/>
      <c r="L81" s="149"/>
      <c r="M81" s="149"/>
      <c r="N81" s="149"/>
      <c r="O81" s="149"/>
    </row>
    <row r="82" spans="3:15" s="9" customFormat="1">
      <c r="C82" s="149"/>
      <c r="D82" s="149"/>
      <c r="E82" s="149"/>
      <c r="F82" s="149"/>
      <c r="G82" s="149"/>
      <c r="H82" s="149"/>
      <c r="I82" s="149"/>
      <c r="J82" s="149"/>
      <c r="K82" s="149"/>
      <c r="L82" s="149"/>
      <c r="M82" s="149"/>
      <c r="N82" s="149"/>
      <c r="O82" s="149"/>
    </row>
    <row r="83" spans="3:15" s="9" customFormat="1">
      <c r="C83" s="149"/>
      <c r="D83" s="149"/>
      <c r="E83" s="149"/>
      <c r="F83" s="149"/>
      <c r="G83" s="149"/>
      <c r="H83" s="149"/>
      <c r="I83" s="149"/>
      <c r="J83" s="149"/>
      <c r="K83" s="149"/>
      <c r="L83" s="149"/>
      <c r="M83" s="149"/>
      <c r="N83" s="149"/>
      <c r="O83" s="149"/>
    </row>
    <row r="84" spans="3:15" s="9" customFormat="1">
      <c r="C84" s="149"/>
      <c r="D84" s="149"/>
      <c r="E84" s="149"/>
      <c r="F84" s="149"/>
      <c r="G84" s="149"/>
      <c r="H84" s="149"/>
      <c r="I84" s="149"/>
      <c r="J84" s="149"/>
      <c r="K84" s="149"/>
      <c r="L84" s="149"/>
      <c r="M84" s="149"/>
      <c r="N84" s="149"/>
      <c r="O84" s="149"/>
    </row>
    <row r="85" spans="3:15" s="9" customFormat="1">
      <c r="C85" s="149"/>
      <c r="D85" s="149"/>
      <c r="E85" s="149"/>
      <c r="F85" s="149"/>
      <c r="G85" s="149"/>
      <c r="H85" s="149"/>
      <c r="I85" s="149"/>
      <c r="J85" s="149"/>
      <c r="K85" s="149"/>
      <c r="L85" s="149"/>
      <c r="M85" s="149"/>
      <c r="N85" s="149"/>
      <c r="O85" s="149"/>
    </row>
    <row r="86" spans="3:15" s="9" customFormat="1">
      <c r="C86" s="149"/>
      <c r="D86" s="149"/>
      <c r="E86" s="149"/>
      <c r="F86" s="149"/>
      <c r="G86" s="149"/>
      <c r="H86" s="149"/>
      <c r="I86" s="149"/>
      <c r="J86" s="149"/>
      <c r="K86" s="149"/>
      <c r="L86" s="149"/>
      <c r="M86" s="149"/>
      <c r="N86" s="149"/>
      <c r="O86" s="149"/>
    </row>
    <row r="87" spans="3:15" s="9" customFormat="1">
      <c r="C87" s="149"/>
      <c r="D87" s="149"/>
      <c r="E87" s="149"/>
      <c r="F87" s="149"/>
      <c r="G87" s="149"/>
      <c r="H87" s="149"/>
      <c r="I87" s="149"/>
      <c r="J87" s="149"/>
      <c r="K87" s="149"/>
      <c r="L87" s="149"/>
      <c r="M87" s="149"/>
      <c r="N87" s="149"/>
      <c r="O87" s="149"/>
    </row>
    <row r="88" spans="3:15" s="9" customFormat="1">
      <c r="C88" s="149"/>
      <c r="D88" s="149"/>
      <c r="E88" s="149"/>
      <c r="F88" s="149"/>
      <c r="G88" s="149"/>
      <c r="H88" s="149"/>
      <c r="I88" s="149"/>
      <c r="J88" s="149"/>
      <c r="K88" s="149"/>
      <c r="L88" s="149"/>
      <c r="M88" s="149"/>
      <c r="N88" s="149"/>
      <c r="O88" s="149"/>
    </row>
    <row r="89" spans="3:15" s="9" customFormat="1">
      <c r="C89" s="149"/>
      <c r="D89" s="149"/>
      <c r="E89" s="149"/>
      <c r="F89" s="149"/>
      <c r="G89" s="149"/>
      <c r="H89" s="149"/>
      <c r="I89" s="149"/>
      <c r="J89" s="149"/>
      <c r="K89" s="149"/>
      <c r="L89" s="149"/>
      <c r="M89" s="149"/>
      <c r="N89" s="149"/>
      <c r="O89" s="149"/>
    </row>
    <row r="90" spans="3:15" s="9" customFormat="1">
      <c r="C90" s="149"/>
      <c r="D90" s="149"/>
      <c r="E90" s="149"/>
      <c r="F90" s="149"/>
      <c r="G90" s="149"/>
      <c r="H90" s="149"/>
      <c r="I90" s="149"/>
      <c r="J90" s="149"/>
      <c r="K90" s="149"/>
      <c r="L90" s="149"/>
      <c r="M90" s="149"/>
      <c r="N90" s="149"/>
      <c r="O90" s="149"/>
    </row>
    <row r="91" spans="3:15" s="9" customFormat="1">
      <c r="C91" s="149"/>
      <c r="D91" s="149"/>
      <c r="E91" s="149"/>
      <c r="F91" s="149"/>
      <c r="G91" s="149"/>
      <c r="H91" s="149"/>
      <c r="I91" s="149"/>
      <c r="J91" s="149"/>
      <c r="K91" s="149"/>
      <c r="L91" s="149"/>
      <c r="M91" s="149"/>
      <c r="N91" s="149"/>
      <c r="O91" s="149"/>
    </row>
    <row r="92" spans="3:15" s="9" customFormat="1">
      <c r="C92" s="149"/>
      <c r="D92" s="149"/>
      <c r="E92" s="149"/>
      <c r="F92" s="149"/>
      <c r="G92" s="149"/>
      <c r="H92" s="149"/>
      <c r="I92" s="149"/>
      <c r="J92" s="149"/>
      <c r="K92" s="149"/>
      <c r="L92" s="149"/>
      <c r="M92" s="149"/>
      <c r="N92" s="149"/>
      <c r="O92" s="149"/>
    </row>
    <row r="93" spans="3:15" s="9" customFormat="1">
      <c r="C93" s="149"/>
      <c r="D93" s="149"/>
      <c r="E93" s="149"/>
      <c r="F93" s="149"/>
      <c r="G93" s="149"/>
      <c r="H93" s="149"/>
      <c r="I93" s="149"/>
      <c r="J93" s="149"/>
      <c r="K93" s="149"/>
      <c r="L93" s="149"/>
      <c r="M93" s="149"/>
      <c r="N93" s="149"/>
      <c r="O93" s="149"/>
    </row>
    <row r="94" spans="3:15" s="9" customFormat="1">
      <c r="C94" s="149"/>
      <c r="D94" s="149"/>
      <c r="E94" s="149"/>
      <c r="F94" s="149"/>
      <c r="G94" s="149"/>
      <c r="H94" s="149"/>
      <c r="I94" s="149"/>
      <c r="J94" s="149"/>
      <c r="K94" s="149"/>
      <c r="L94" s="149"/>
      <c r="M94" s="149"/>
      <c r="N94" s="149"/>
      <c r="O94" s="149"/>
    </row>
    <row r="95" spans="3:15" s="9" customFormat="1">
      <c r="C95" s="149"/>
      <c r="D95" s="149"/>
      <c r="E95" s="149"/>
      <c r="F95" s="149"/>
      <c r="G95" s="149"/>
      <c r="H95" s="149"/>
      <c r="I95" s="149"/>
      <c r="J95" s="149"/>
      <c r="K95" s="149"/>
      <c r="L95" s="149"/>
      <c r="M95" s="149"/>
      <c r="N95" s="149"/>
      <c r="O95" s="149"/>
    </row>
    <row r="96" spans="3:15" s="9" customFormat="1">
      <c r="C96" s="149"/>
      <c r="D96" s="149"/>
      <c r="E96" s="149"/>
      <c r="F96" s="149"/>
      <c r="G96" s="149"/>
      <c r="H96" s="149"/>
      <c r="I96" s="149"/>
      <c r="J96" s="149"/>
      <c r="K96" s="149"/>
      <c r="L96" s="149"/>
      <c r="M96" s="149"/>
      <c r="N96" s="149"/>
      <c r="O96" s="149"/>
    </row>
    <row r="97" spans="3:15" s="9" customFormat="1">
      <c r="C97" s="149"/>
      <c r="D97" s="149"/>
      <c r="E97" s="149"/>
      <c r="F97" s="149"/>
      <c r="G97" s="149"/>
      <c r="H97" s="149"/>
      <c r="I97" s="149"/>
      <c r="J97" s="149"/>
      <c r="K97" s="149"/>
      <c r="L97" s="149"/>
      <c r="M97" s="149"/>
      <c r="N97" s="149"/>
      <c r="O97" s="149"/>
    </row>
    <row r="98" spans="3:15" s="9" customFormat="1">
      <c r="C98" s="149"/>
      <c r="D98" s="149"/>
      <c r="E98" s="149"/>
      <c r="F98" s="149"/>
      <c r="G98" s="149"/>
      <c r="H98" s="149"/>
      <c r="I98" s="149"/>
      <c r="J98" s="149"/>
      <c r="K98" s="149"/>
      <c r="L98" s="149"/>
      <c r="M98" s="149"/>
      <c r="N98" s="149"/>
      <c r="O98" s="149"/>
    </row>
    <row r="99" spans="3:15" s="9" customFormat="1">
      <c r="C99" s="149"/>
      <c r="D99" s="149"/>
      <c r="E99" s="149"/>
      <c r="F99" s="149"/>
      <c r="G99" s="149"/>
      <c r="H99" s="149"/>
      <c r="I99" s="149"/>
      <c r="J99" s="149"/>
      <c r="K99" s="149"/>
      <c r="L99" s="149"/>
      <c r="M99" s="149"/>
      <c r="N99" s="149"/>
      <c r="O99" s="149"/>
    </row>
    <row r="100" spans="3:15" s="9" customFormat="1">
      <c r="C100" s="149"/>
      <c r="D100" s="149"/>
      <c r="E100" s="149"/>
      <c r="F100" s="149"/>
      <c r="G100" s="149"/>
      <c r="H100" s="149"/>
      <c r="I100" s="149"/>
      <c r="J100" s="149"/>
      <c r="K100" s="149"/>
      <c r="L100" s="149"/>
      <c r="M100" s="149"/>
      <c r="N100" s="149"/>
      <c r="O100" s="149"/>
    </row>
    <row r="101" spans="3:15" s="9" customFormat="1">
      <c r="C101" s="149"/>
      <c r="D101" s="149"/>
      <c r="E101" s="149"/>
      <c r="F101" s="149"/>
      <c r="G101" s="149"/>
      <c r="H101" s="149"/>
      <c r="I101" s="149"/>
      <c r="J101" s="149"/>
      <c r="K101" s="149"/>
      <c r="L101" s="149"/>
      <c r="M101" s="149"/>
      <c r="N101" s="149"/>
      <c r="O101" s="149"/>
    </row>
    <row r="102" spans="3:15" s="9" customFormat="1">
      <c r="C102" s="149"/>
      <c r="D102" s="149"/>
      <c r="E102" s="149"/>
      <c r="F102" s="149"/>
      <c r="G102" s="149"/>
      <c r="H102" s="149"/>
      <c r="I102" s="149"/>
      <c r="J102" s="149"/>
      <c r="K102" s="149"/>
      <c r="L102" s="149"/>
      <c r="M102" s="149"/>
      <c r="N102" s="149"/>
      <c r="O102" s="149"/>
    </row>
    <row r="103" spans="3:15" s="9" customFormat="1">
      <c r="C103" s="149"/>
      <c r="D103" s="149"/>
      <c r="E103" s="149"/>
      <c r="F103" s="149"/>
      <c r="G103" s="149"/>
      <c r="H103" s="149"/>
      <c r="I103" s="149"/>
      <c r="J103" s="149"/>
      <c r="K103" s="149"/>
      <c r="L103" s="149"/>
      <c r="M103" s="149"/>
      <c r="N103" s="149"/>
      <c r="O103" s="149"/>
    </row>
    <row r="104" spans="3:15" s="9" customFormat="1">
      <c r="C104" s="149"/>
      <c r="D104" s="149"/>
      <c r="E104" s="149"/>
      <c r="F104" s="149"/>
      <c r="G104" s="149"/>
      <c r="H104" s="149"/>
      <c r="I104" s="149"/>
      <c r="J104" s="149"/>
      <c r="K104" s="149"/>
      <c r="L104" s="149"/>
      <c r="M104" s="149"/>
      <c r="N104" s="149"/>
      <c r="O104" s="149"/>
    </row>
    <row r="105" spans="3:15" s="9" customFormat="1">
      <c r="C105" s="149"/>
      <c r="D105" s="149"/>
      <c r="E105" s="149"/>
      <c r="F105" s="149"/>
      <c r="G105" s="149"/>
      <c r="H105" s="149"/>
      <c r="I105" s="149"/>
      <c r="J105" s="149"/>
      <c r="K105" s="149"/>
      <c r="L105" s="149"/>
      <c r="M105" s="149"/>
      <c r="N105" s="149"/>
      <c r="O105" s="149"/>
    </row>
    <row r="106" spans="3:15" s="9" customFormat="1">
      <c r="C106" s="149"/>
      <c r="D106" s="149"/>
      <c r="E106" s="149"/>
      <c r="F106" s="149"/>
      <c r="G106" s="149"/>
      <c r="H106" s="149"/>
      <c r="I106" s="149"/>
      <c r="J106" s="149"/>
      <c r="K106" s="149"/>
      <c r="L106" s="149"/>
      <c r="M106" s="149"/>
      <c r="N106" s="149"/>
      <c r="O106" s="149"/>
    </row>
    <row r="107" spans="3:15" s="9" customFormat="1">
      <c r="C107" s="149"/>
      <c r="D107" s="149"/>
      <c r="E107" s="149"/>
      <c r="F107" s="149"/>
      <c r="G107" s="149"/>
      <c r="H107" s="149"/>
      <c r="I107" s="149"/>
      <c r="J107" s="149"/>
      <c r="K107" s="149"/>
      <c r="L107" s="149"/>
      <c r="M107" s="149"/>
      <c r="N107" s="149"/>
      <c r="O107" s="149"/>
    </row>
    <row r="108" spans="3:15" s="9" customFormat="1">
      <c r="C108" s="149"/>
      <c r="D108" s="149"/>
      <c r="E108" s="149"/>
      <c r="F108" s="149"/>
      <c r="G108" s="149"/>
      <c r="H108" s="149"/>
      <c r="I108" s="149"/>
      <c r="J108" s="149"/>
      <c r="K108" s="149"/>
      <c r="L108" s="149"/>
      <c r="M108" s="149"/>
      <c r="N108" s="149"/>
      <c r="O108" s="149"/>
    </row>
    <row r="109" spans="3:15" s="9" customFormat="1">
      <c r="C109" s="149"/>
      <c r="D109" s="149"/>
      <c r="E109" s="149"/>
      <c r="F109" s="149"/>
      <c r="G109" s="149"/>
      <c r="H109" s="149"/>
      <c r="I109" s="149"/>
      <c r="J109" s="149"/>
      <c r="K109" s="149"/>
      <c r="L109" s="149"/>
      <c r="M109" s="149"/>
      <c r="N109" s="149"/>
      <c r="O109" s="149"/>
    </row>
    <row r="110" spans="3:15" s="9" customFormat="1">
      <c r="C110" s="149"/>
      <c r="D110" s="149"/>
      <c r="E110" s="149"/>
      <c r="F110" s="149"/>
      <c r="G110" s="149"/>
      <c r="H110" s="149"/>
      <c r="I110" s="149"/>
      <c r="J110" s="149"/>
      <c r="K110" s="149"/>
      <c r="L110" s="149"/>
      <c r="M110" s="149"/>
      <c r="N110" s="149"/>
      <c r="O110" s="149"/>
    </row>
    <row r="111" spans="3:15" s="9" customFormat="1">
      <c r="C111" s="149"/>
      <c r="D111" s="149"/>
      <c r="E111" s="149"/>
      <c r="F111" s="149"/>
      <c r="G111" s="149"/>
      <c r="H111" s="149"/>
      <c r="I111" s="149"/>
      <c r="J111" s="149"/>
      <c r="K111" s="149"/>
      <c r="L111" s="149"/>
      <c r="M111" s="149"/>
      <c r="N111" s="149"/>
      <c r="O111" s="149"/>
    </row>
    <row r="112" spans="3:15" s="9" customFormat="1">
      <c r="C112" s="149"/>
      <c r="D112" s="149"/>
      <c r="E112" s="149"/>
      <c r="F112" s="149"/>
      <c r="G112" s="149"/>
      <c r="H112" s="149"/>
      <c r="I112" s="149"/>
      <c r="J112" s="149"/>
      <c r="K112" s="149"/>
      <c r="L112" s="149"/>
      <c r="M112" s="149"/>
      <c r="N112" s="149"/>
      <c r="O112" s="149"/>
    </row>
    <row r="113" spans="3:15" s="9" customFormat="1">
      <c r="C113" s="149"/>
      <c r="D113" s="149"/>
      <c r="E113" s="149"/>
      <c r="F113" s="149"/>
      <c r="G113" s="149"/>
      <c r="H113" s="149"/>
      <c r="I113" s="149"/>
      <c r="J113" s="149"/>
      <c r="K113" s="149"/>
      <c r="L113" s="149"/>
      <c r="M113" s="149"/>
      <c r="N113" s="149"/>
      <c r="O113" s="149"/>
    </row>
    <row r="114" spans="3:15" s="9" customFormat="1">
      <c r="C114" s="149"/>
      <c r="D114" s="149"/>
      <c r="E114" s="149"/>
      <c r="F114" s="149"/>
      <c r="G114" s="149"/>
      <c r="H114" s="149"/>
      <c r="I114" s="149"/>
      <c r="J114" s="149"/>
      <c r="K114" s="149"/>
      <c r="L114" s="149"/>
      <c r="M114" s="149"/>
      <c r="N114" s="149"/>
      <c r="O114" s="149"/>
    </row>
    <row r="115" spans="3:15" s="9" customFormat="1">
      <c r="C115" s="149"/>
      <c r="D115" s="149"/>
      <c r="E115" s="149"/>
      <c r="F115" s="149"/>
      <c r="G115" s="149"/>
      <c r="H115" s="149"/>
      <c r="I115" s="149"/>
      <c r="J115" s="149"/>
      <c r="K115" s="149"/>
      <c r="L115" s="149"/>
      <c r="M115" s="149"/>
      <c r="N115" s="149"/>
      <c r="O115" s="149"/>
    </row>
    <row r="116" spans="3:15" s="9" customFormat="1">
      <c r="C116" s="149"/>
      <c r="D116" s="149"/>
      <c r="E116" s="149"/>
      <c r="F116" s="149"/>
      <c r="G116" s="149"/>
      <c r="H116" s="149"/>
      <c r="I116" s="149"/>
      <c r="J116" s="149"/>
      <c r="K116" s="149"/>
      <c r="L116" s="149"/>
      <c r="M116" s="149"/>
      <c r="N116" s="149"/>
      <c r="O116" s="149"/>
    </row>
    <row r="117" spans="3:15" s="9" customFormat="1">
      <c r="C117" s="149"/>
      <c r="D117" s="149"/>
      <c r="E117" s="149"/>
      <c r="F117" s="149"/>
      <c r="G117" s="149"/>
      <c r="H117" s="149"/>
      <c r="I117" s="149"/>
      <c r="J117" s="149"/>
      <c r="K117" s="149"/>
      <c r="L117" s="149"/>
      <c r="M117" s="149"/>
      <c r="N117" s="149"/>
      <c r="O117" s="149"/>
    </row>
    <row r="118" spans="3:15" s="9" customFormat="1">
      <c r="C118" s="149"/>
      <c r="D118" s="149"/>
      <c r="E118" s="149"/>
      <c r="F118" s="149"/>
      <c r="G118" s="149"/>
      <c r="H118" s="149"/>
      <c r="I118" s="149"/>
      <c r="J118" s="149"/>
      <c r="K118" s="149"/>
      <c r="L118" s="149"/>
      <c r="M118" s="149"/>
      <c r="N118" s="149"/>
      <c r="O118" s="149"/>
    </row>
    <row r="119" spans="3:15" s="9" customFormat="1">
      <c r="C119" s="149"/>
      <c r="D119" s="149"/>
      <c r="E119" s="149"/>
      <c r="F119" s="149"/>
      <c r="G119" s="149"/>
      <c r="H119" s="149"/>
      <c r="I119" s="149"/>
      <c r="J119" s="149"/>
      <c r="K119" s="149"/>
      <c r="L119" s="149"/>
      <c r="M119" s="149"/>
      <c r="N119" s="149"/>
      <c r="O119" s="149"/>
    </row>
    <row r="120" spans="3:15" s="9" customFormat="1">
      <c r="C120" s="149"/>
      <c r="D120" s="149"/>
      <c r="E120" s="149"/>
      <c r="F120" s="149"/>
      <c r="G120" s="149"/>
      <c r="H120" s="149"/>
      <c r="I120" s="149"/>
      <c r="J120" s="149"/>
      <c r="K120" s="149"/>
      <c r="L120" s="149"/>
      <c r="M120" s="149"/>
      <c r="N120" s="149"/>
      <c r="O120" s="149"/>
    </row>
    <row r="121" spans="3:15" s="9" customFormat="1">
      <c r="C121" s="149"/>
      <c r="D121" s="149"/>
      <c r="E121" s="149"/>
      <c r="F121" s="149"/>
      <c r="G121" s="149"/>
      <c r="H121" s="149"/>
      <c r="I121" s="149"/>
      <c r="J121" s="149"/>
      <c r="K121" s="149"/>
      <c r="L121" s="149"/>
      <c r="M121" s="149"/>
      <c r="N121" s="149"/>
      <c r="O121" s="149"/>
    </row>
    <row r="122" spans="3:15" s="9" customFormat="1">
      <c r="C122" s="149"/>
      <c r="D122" s="149"/>
      <c r="E122" s="149"/>
      <c r="F122" s="149"/>
      <c r="G122" s="149"/>
      <c r="H122" s="149"/>
      <c r="I122" s="149"/>
      <c r="J122" s="149"/>
      <c r="K122" s="149"/>
      <c r="L122" s="149"/>
      <c r="M122" s="149"/>
      <c r="N122" s="149"/>
      <c r="O122" s="149"/>
    </row>
    <row r="123" spans="3:15" s="9" customFormat="1">
      <c r="C123" s="149"/>
      <c r="D123" s="149"/>
      <c r="E123" s="149"/>
      <c r="F123" s="149"/>
      <c r="G123" s="149"/>
      <c r="H123" s="149"/>
      <c r="I123" s="149"/>
      <c r="J123" s="149"/>
      <c r="K123" s="149"/>
      <c r="L123" s="149"/>
      <c r="M123" s="149"/>
      <c r="N123" s="149"/>
      <c r="O123" s="149"/>
    </row>
    <row r="124" spans="3:15" s="9" customFormat="1">
      <c r="C124" s="149"/>
      <c r="D124" s="149"/>
      <c r="E124" s="149"/>
      <c r="F124" s="149"/>
      <c r="G124" s="149"/>
      <c r="H124" s="149"/>
      <c r="I124" s="149"/>
      <c r="J124" s="149"/>
      <c r="K124" s="149"/>
      <c r="L124" s="149"/>
      <c r="M124" s="149"/>
      <c r="N124" s="149"/>
      <c r="O124" s="149"/>
    </row>
    <row r="125" spans="3:15" s="9" customFormat="1">
      <c r="C125" s="149"/>
      <c r="D125" s="149"/>
      <c r="E125" s="149"/>
      <c r="F125" s="149"/>
      <c r="G125" s="149"/>
      <c r="H125" s="149"/>
      <c r="I125" s="149"/>
      <c r="J125" s="149"/>
      <c r="K125" s="149"/>
      <c r="L125" s="149"/>
      <c r="M125" s="149"/>
      <c r="N125" s="149"/>
      <c r="O125" s="149"/>
    </row>
    <row r="126" spans="3:15" s="9" customFormat="1">
      <c r="C126" s="149"/>
      <c r="D126" s="149"/>
      <c r="E126" s="149"/>
      <c r="F126" s="149"/>
      <c r="G126" s="149"/>
      <c r="H126" s="149"/>
      <c r="I126" s="149"/>
      <c r="J126" s="149"/>
      <c r="K126" s="149"/>
      <c r="L126" s="149"/>
      <c r="M126" s="149"/>
      <c r="N126" s="149"/>
      <c r="O126" s="149"/>
    </row>
    <row r="127" spans="3:15" s="9" customFormat="1">
      <c r="C127" s="149"/>
      <c r="D127" s="149"/>
      <c r="E127" s="149"/>
      <c r="F127" s="149"/>
      <c r="G127" s="149"/>
      <c r="H127" s="149"/>
      <c r="I127" s="149"/>
      <c r="J127" s="149"/>
      <c r="K127" s="149"/>
      <c r="L127" s="149"/>
      <c r="M127" s="149"/>
      <c r="N127" s="149"/>
      <c r="O127" s="149"/>
    </row>
    <row r="128" spans="3:15" s="9" customFormat="1">
      <c r="C128" s="149"/>
      <c r="D128" s="149"/>
      <c r="E128" s="149"/>
      <c r="F128" s="149"/>
      <c r="G128" s="149"/>
      <c r="H128" s="149"/>
      <c r="I128" s="149"/>
      <c r="J128" s="149"/>
      <c r="K128" s="149"/>
      <c r="L128" s="149"/>
      <c r="M128" s="149"/>
      <c r="N128" s="149"/>
      <c r="O128" s="149"/>
    </row>
    <row r="129" spans="3:15" s="9" customFormat="1">
      <c r="C129" s="149"/>
      <c r="D129" s="149"/>
      <c r="E129" s="149"/>
      <c r="F129" s="149"/>
      <c r="G129" s="149"/>
      <c r="H129" s="149"/>
      <c r="I129" s="149"/>
      <c r="J129" s="149"/>
      <c r="K129" s="149"/>
      <c r="L129" s="149"/>
      <c r="M129" s="149"/>
      <c r="N129" s="149"/>
      <c r="O129" s="149"/>
    </row>
    <row r="130" spans="3:15" s="9" customFormat="1">
      <c r="C130" s="149"/>
      <c r="D130" s="149"/>
      <c r="E130" s="149"/>
      <c r="F130" s="149"/>
      <c r="G130" s="149"/>
      <c r="H130" s="149"/>
      <c r="I130" s="149"/>
      <c r="J130" s="149"/>
      <c r="K130" s="149"/>
      <c r="L130" s="149"/>
      <c r="M130" s="149"/>
      <c r="N130" s="149"/>
      <c r="O130" s="149"/>
    </row>
    <row r="131" spans="3:15" s="9" customFormat="1">
      <c r="C131" s="149"/>
      <c r="D131" s="149"/>
      <c r="E131" s="149"/>
      <c r="F131" s="149"/>
      <c r="G131" s="149"/>
      <c r="H131" s="149"/>
      <c r="I131" s="149"/>
      <c r="J131" s="149"/>
      <c r="K131" s="149"/>
      <c r="L131" s="149"/>
      <c r="M131" s="149"/>
      <c r="N131" s="149"/>
      <c r="O131" s="149"/>
    </row>
    <row r="132" spans="3:15" s="9" customFormat="1">
      <c r="C132" s="149"/>
      <c r="D132" s="149"/>
      <c r="E132" s="149"/>
      <c r="F132" s="149"/>
      <c r="G132" s="149"/>
      <c r="H132" s="149"/>
      <c r="I132" s="149"/>
      <c r="J132" s="149"/>
      <c r="K132" s="149"/>
      <c r="L132" s="149"/>
      <c r="M132" s="149"/>
      <c r="N132" s="149"/>
      <c r="O132" s="149"/>
    </row>
    <row r="133" spans="3:15" s="9" customFormat="1">
      <c r="C133" s="149"/>
      <c r="D133" s="149"/>
      <c r="E133" s="149"/>
      <c r="F133" s="149"/>
      <c r="G133" s="149"/>
      <c r="H133" s="149"/>
      <c r="I133" s="149"/>
      <c r="J133" s="149"/>
      <c r="K133" s="149"/>
      <c r="L133" s="149"/>
      <c r="M133" s="149"/>
      <c r="N133" s="149"/>
      <c r="O133" s="149"/>
    </row>
    <row r="134" spans="3:15" s="9" customFormat="1">
      <c r="C134" s="149"/>
      <c r="D134" s="149"/>
      <c r="E134" s="149"/>
      <c r="F134" s="149"/>
      <c r="G134" s="149"/>
      <c r="H134" s="149"/>
      <c r="I134" s="149"/>
      <c r="J134" s="149"/>
      <c r="K134" s="149"/>
      <c r="L134" s="149"/>
      <c r="M134" s="149"/>
      <c r="N134" s="149"/>
      <c r="O134" s="149"/>
    </row>
    <row r="135" spans="3:15" s="9" customFormat="1">
      <c r="C135" s="149"/>
      <c r="D135" s="149"/>
      <c r="E135" s="149"/>
      <c r="F135" s="149"/>
      <c r="G135" s="149"/>
      <c r="H135" s="149"/>
      <c r="I135" s="149"/>
      <c r="J135" s="149"/>
      <c r="K135" s="149"/>
      <c r="L135" s="149"/>
      <c r="M135" s="149"/>
      <c r="N135" s="149"/>
      <c r="O135" s="149"/>
    </row>
    <row r="136" spans="3:15" s="9" customFormat="1">
      <c r="C136" s="149"/>
      <c r="D136" s="149"/>
      <c r="E136" s="149"/>
      <c r="F136" s="149"/>
      <c r="G136" s="149"/>
      <c r="H136" s="149"/>
      <c r="I136" s="149"/>
      <c r="J136" s="149"/>
      <c r="K136" s="149"/>
      <c r="L136" s="149"/>
      <c r="M136" s="149"/>
      <c r="N136" s="149"/>
      <c r="O136" s="149"/>
    </row>
    <row r="137" spans="3:15" s="9" customFormat="1">
      <c r="C137" s="149"/>
      <c r="D137" s="149"/>
      <c r="E137" s="149"/>
      <c r="F137" s="149"/>
      <c r="G137" s="149"/>
      <c r="H137" s="149"/>
      <c r="I137" s="149"/>
      <c r="J137" s="149"/>
      <c r="K137" s="149"/>
      <c r="L137" s="149"/>
      <c r="M137" s="149"/>
      <c r="N137" s="149"/>
      <c r="O137" s="149"/>
    </row>
    <row r="138" spans="3:15" s="9" customFormat="1">
      <c r="C138" s="149"/>
      <c r="D138" s="149"/>
      <c r="E138" s="149"/>
      <c r="F138" s="149"/>
      <c r="G138" s="149"/>
      <c r="H138" s="149"/>
      <c r="I138" s="149"/>
      <c r="J138" s="149"/>
      <c r="K138" s="149"/>
      <c r="L138" s="149"/>
      <c r="M138" s="149"/>
      <c r="N138" s="149"/>
      <c r="O138" s="149"/>
    </row>
    <row r="139" spans="3:15" s="9" customFormat="1">
      <c r="C139" s="149"/>
      <c r="D139" s="149"/>
      <c r="E139" s="149"/>
      <c r="F139" s="149"/>
      <c r="G139" s="149"/>
      <c r="H139" s="149"/>
      <c r="I139" s="149"/>
      <c r="J139" s="149"/>
      <c r="K139" s="149"/>
      <c r="L139" s="149"/>
      <c r="M139" s="149"/>
      <c r="N139" s="149"/>
      <c r="O139" s="149"/>
    </row>
    <row r="140" spans="3:15" s="9" customFormat="1">
      <c r="C140" s="149"/>
      <c r="D140" s="149"/>
      <c r="E140" s="149"/>
      <c r="F140" s="149"/>
      <c r="G140" s="149"/>
      <c r="H140" s="149"/>
      <c r="I140" s="149"/>
      <c r="J140" s="149"/>
      <c r="K140" s="149"/>
      <c r="L140" s="149"/>
      <c r="M140" s="149"/>
      <c r="N140" s="149"/>
      <c r="O140" s="149"/>
    </row>
    <row r="141" spans="3:15" s="9" customFormat="1">
      <c r="C141" s="149"/>
      <c r="D141" s="149"/>
      <c r="E141" s="149"/>
      <c r="F141" s="149"/>
      <c r="G141" s="149"/>
      <c r="H141" s="149"/>
      <c r="I141" s="149"/>
      <c r="J141" s="149"/>
      <c r="K141" s="149"/>
      <c r="L141" s="149"/>
      <c r="M141" s="149"/>
      <c r="N141" s="149"/>
      <c r="O141" s="149"/>
    </row>
    <row r="142" spans="3:15" s="9" customFormat="1">
      <c r="C142" s="149"/>
      <c r="D142" s="149"/>
      <c r="E142" s="149"/>
      <c r="F142" s="149"/>
      <c r="G142" s="149"/>
      <c r="H142" s="149"/>
      <c r="I142" s="149"/>
      <c r="J142" s="149"/>
      <c r="K142" s="149"/>
      <c r="L142" s="149"/>
      <c r="M142" s="149"/>
      <c r="N142" s="149"/>
      <c r="O142" s="149"/>
    </row>
    <row r="143" spans="3:15" s="9" customFormat="1">
      <c r="C143" s="149"/>
      <c r="D143" s="149"/>
      <c r="E143" s="149"/>
      <c r="F143" s="149"/>
      <c r="G143" s="149"/>
      <c r="H143" s="149"/>
      <c r="I143" s="149"/>
      <c r="J143" s="149"/>
      <c r="K143" s="149"/>
      <c r="L143" s="149"/>
      <c r="M143" s="149"/>
      <c r="N143" s="149"/>
      <c r="O143" s="149"/>
    </row>
    <row r="144" spans="3:15" s="9" customFormat="1">
      <c r="C144" s="149"/>
      <c r="D144" s="149"/>
      <c r="E144" s="149"/>
      <c r="F144" s="149"/>
      <c r="G144" s="149"/>
      <c r="H144" s="149"/>
      <c r="I144" s="149"/>
      <c r="J144" s="149"/>
      <c r="K144" s="149"/>
      <c r="L144" s="149"/>
      <c r="M144" s="149"/>
      <c r="N144" s="149"/>
      <c r="O144" s="149"/>
    </row>
    <row r="145" spans="3:15" s="9" customFormat="1">
      <c r="C145" s="149"/>
      <c r="D145" s="149"/>
      <c r="E145" s="149"/>
      <c r="F145" s="149"/>
      <c r="G145" s="149"/>
      <c r="H145" s="149"/>
      <c r="I145" s="149"/>
      <c r="J145" s="149"/>
      <c r="K145" s="149"/>
      <c r="L145" s="149"/>
      <c r="M145" s="149"/>
      <c r="N145" s="149"/>
      <c r="O145" s="149"/>
    </row>
    <row r="146" spans="3:15" s="9" customFormat="1">
      <c r="C146" s="149"/>
      <c r="D146" s="149"/>
      <c r="E146" s="149"/>
      <c r="F146" s="149"/>
      <c r="G146" s="149"/>
      <c r="H146" s="149"/>
      <c r="I146" s="149"/>
      <c r="J146" s="149"/>
      <c r="K146" s="149"/>
      <c r="L146" s="149"/>
      <c r="M146" s="149"/>
      <c r="N146" s="149"/>
      <c r="O146" s="149"/>
    </row>
    <row r="147" spans="3:15" s="9" customFormat="1">
      <c r="C147" s="149"/>
      <c r="D147" s="149"/>
      <c r="E147" s="149"/>
      <c r="F147" s="149"/>
      <c r="G147" s="149"/>
      <c r="H147" s="149"/>
      <c r="I147" s="149"/>
      <c r="J147" s="149"/>
      <c r="K147" s="149"/>
      <c r="L147" s="149"/>
      <c r="M147" s="149"/>
      <c r="N147" s="149"/>
      <c r="O147" s="149"/>
    </row>
    <row r="148" spans="3:15" s="9" customFormat="1">
      <c r="C148" s="149"/>
      <c r="D148" s="149"/>
      <c r="E148" s="149"/>
      <c r="F148" s="149"/>
      <c r="G148" s="149"/>
      <c r="H148" s="149"/>
      <c r="I148" s="149"/>
      <c r="J148" s="149"/>
      <c r="K148" s="149"/>
      <c r="L148" s="149"/>
      <c r="M148" s="149"/>
      <c r="N148" s="149"/>
      <c r="O148" s="149"/>
    </row>
    <row r="149" spans="3:15" s="9" customFormat="1">
      <c r="C149" s="149"/>
      <c r="D149" s="149"/>
      <c r="E149" s="149"/>
      <c r="F149" s="149"/>
      <c r="G149" s="149"/>
      <c r="H149" s="149"/>
      <c r="I149" s="149"/>
      <c r="J149" s="149"/>
      <c r="K149" s="149"/>
      <c r="L149" s="149"/>
      <c r="M149" s="149"/>
      <c r="N149" s="149"/>
      <c r="O149" s="149"/>
    </row>
    <row r="150" spans="3:15" s="9" customFormat="1">
      <c r="C150" s="149"/>
      <c r="D150" s="149"/>
      <c r="E150" s="149"/>
      <c r="F150" s="149"/>
      <c r="G150" s="149"/>
      <c r="H150" s="149"/>
      <c r="I150" s="149"/>
      <c r="J150" s="149"/>
      <c r="K150" s="149"/>
      <c r="L150" s="149"/>
      <c r="M150" s="149"/>
      <c r="N150" s="149"/>
      <c r="O150" s="149"/>
    </row>
    <row r="151" spans="3:15" s="9" customFormat="1">
      <c r="C151" s="149"/>
      <c r="D151" s="149"/>
      <c r="E151" s="149"/>
      <c r="F151" s="149"/>
      <c r="G151" s="149"/>
      <c r="H151" s="149"/>
      <c r="I151" s="149"/>
      <c r="J151" s="149"/>
      <c r="K151" s="149"/>
      <c r="L151" s="149"/>
      <c r="M151" s="149"/>
      <c r="N151" s="149"/>
      <c r="O151" s="149"/>
    </row>
    <row r="152" spans="3:15" s="9" customFormat="1">
      <c r="C152" s="149"/>
      <c r="D152" s="149"/>
      <c r="E152" s="149"/>
      <c r="F152" s="149"/>
      <c r="G152" s="149"/>
      <c r="H152" s="149"/>
      <c r="I152" s="149"/>
      <c r="J152" s="149"/>
      <c r="K152" s="149"/>
      <c r="L152" s="149"/>
      <c r="M152" s="149"/>
      <c r="N152" s="149"/>
      <c r="O152" s="149"/>
    </row>
    <row r="153" spans="3:15" s="9" customFormat="1">
      <c r="C153" s="149"/>
      <c r="D153" s="149"/>
      <c r="E153" s="149"/>
      <c r="F153" s="149"/>
      <c r="G153" s="149"/>
      <c r="H153" s="149"/>
      <c r="I153" s="149"/>
      <c r="J153" s="149"/>
      <c r="K153" s="149"/>
      <c r="L153" s="149"/>
      <c r="M153" s="149"/>
      <c r="N153" s="149"/>
      <c r="O153" s="149"/>
    </row>
    <row r="154" spans="3:15" s="9" customFormat="1">
      <c r="C154" s="149"/>
      <c r="D154" s="149"/>
      <c r="E154" s="149"/>
      <c r="F154" s="149"/>
      <c r="G154" s="149"/>
      <c r="H154" s="149"/>
      <c r="I154" s="149"/>
      <c r="J154" s="149"/>
      <c r="K154" s="149"/>
      <c r="L154" s="149"/>
      <c r="M154" s="149"/>
      <c r="N154" s="149"/>
      <c r="O154" s="149"/>
    </row>
    <row r="155" spans="3:15" s="9" customFormat="1">
      <c r="C155" s="149"/>
      <c r="D155" s="149"/>
      <c r="E155" s="149"/>
      <c r="F155" s="149"/>
      <c r="G155" s="149"/>
      <c r="H155" s="149"/>
      <c r="I155" s="149"/>
      <c r="J155" s="149"/>
      <c r="K155" s="149"/>
      <c r="L155" s="149"/>
      <c r="M155" s="149"/>
      <c r="N155" s="149"/>
      <c r="O155" s="149"/>
    </row>
    <row r="156" spans="3:15" s="9" customFormat="1">
      <c r="C156" s="149"/>
      <c r="D156" s="149"/>
      <c r="E156" s="149"/>
      <c r="F156" s="149"/>
      <c r="G156" s="149"/>
      <c r="H156" s="149"/>
      <c r="I156" s="149"/>
      <c r="J156" s="149"/>
      <c r="K156" s="149"/>
      <c r="L156" s="149"/>
      <c r="M156" s="149"/>
      <c r="N156" s="149"/>
      <c r="O156" s="149"/>
    </row>
    <row r="157" spans="3:15" s="9" customFormat="1">
      <c r="C157" s="149"/>
      <c r="D157" s="149"/>
      <c r="E157" s="149"/>
      <c r="F157" s="149"/>
      <c r="G157" s="149"/>
      <c r="H157" s="149"/>
      <c r="I157" s="149"/>
      <c r="J157" s="149"/>
      <c r="K157" s="149"/>
      <c r="L157" s="149"/>
      <c r="M157" s="149"/>
      <c r="N157" s="149"/>
      <c r="O157" s="149"/>
    </row>
    <row r="158" spans="3:15" s="9" customFormat="1">
      <c r="C158" s="149"/>
      <c r="D158" s="149"/>
      <c r="E158" s="149"/>
      <c r="F158" s="149"/>
      <c r="G158" s="149"/>
      <c r="H158" s="149"/>
      <c r="I158" s="149"/>
      <c r="J158" s="149"/>
      <c r="K158" s="149"/>
      <c r="L158" s="149"/>
      <c r="M158" s="149"/>
      <c r="N158" s="149"/>
      <c r="O158" s="149"/>
    </row>
    <row r="159" spans="3:15" s="9" customFormat="1">
      <c r="C159" s="149"/>
      <c r="D159" s="149"/>
      <c r="E159" s="149"/>
      <c r="F159" s="149"/>
      <c r="G159" s="149"/>
      <c r="H159" s="149"/>
      <c r="I159" s="149"/>
      <c r="J159" s="149"/>
      <c r="K159" s="149"/>
      <c r="L159" s="149"/>
      <c r="M159" s="149"/>
      <c r="N159" s="149"/>
      <c r="O159" s="149"/>
    </row>
    <row r="160" spans="3:15" s="9" customFormat="1">
      <c r="C160" s="149"/>
      <c r="D160" s="149"/>
      <c r="E160" s="149"/>
      <c r="F160" s="149"/>
      <c r="G160" s="149"/>
      <c r="H160" s="149"/>
      <c r="I160" s="149"/>
      <c r="J160" s="149"/>
      <c r="K160" s="149"/>
      <c r="L160" s="149"/>
      <c r="M160" s="149"/>
      <c r="N160" s="149"/>
      <c r="O160" s="149"/>
    </row>
    <row r="161" spans="3:15" s="9" customFormat="1">
      <c r="C161" s="149"/>
      <c r="D161" s="149"/>
      <c r="E161" s="149"/>
      <c r="F161" s="149"/>
      <c r="G161" s="149"/>
      <c r="H161" s="149"/>
      <c r="I161" s="149"/>
      <c r="J161" s="149"/>
      <c r="K161" s="149"/>
      <c r="L161" s="149"/>
      <c r="M161" s="149"/>
      <c r="N161" s="149"/>
      <c r="O161" s="149"/>
    </row>
    <row r="162" spans="3:15" s="9" customFormat="1">
      <c r="C162" s="149"/>
      <c r="D162" s="149"/>
      <c r="E162" s="149"/>
      <c r="F162" s="149"/>
      <c r="G162" s="149"/>
      <c r="H162" s="149"/>
      <c r="I162" s="149"/>
      <c r="J162" s="149"/>
      <c r="K162" s="149"/>
      <c r="L162" s="149"/>
      <c r="M162" s="149"/>
      <c r="N162" s="149"/>
      <c r="O162" s="149"/>
    </row>
    <row r="163" spans="3:15" s="9" customFormat="1">
      <c r="C163" s="149"/>
      <c r="D163" s="149"/>
      <c r="E163" s="149"/>
      <c r="F163" s="149"/>
      <c r="G163" s="149"/>
      <c r="H163" s="149"/>
      <c r="I163" s="149"/>
      <c r="J163" s="149"/>
      <c r="K163" s="149"/>
      <c r="L163" s="149"/>
      <c r="M163" s="149"/>
      <c r="N163" s="149"/>
      <c r="O163" s="149"/>
    </row>
    <row r="164" spans="3:15" s="9" customFormat="1">
      <c r="C164" s="149"/>
      <c r="D164" s="149"/>
      <c r="E164" s="149"/>
      <c r="F164" s="149"/>
      <c r="G164" s="149"/>
      <c r="H164" s="149"/>
      <c r="I164" s="149"/>
      <c r="J164" s="149"/>
      <c r="K164" s="149"/>
      <c r="L164" s="149"/>
      <c r="M164" s="149"/>
      <c r="N164" s="149"/>
      <c r="O164" s="149"/>
    </row>
    <row r="165" spans="3:15" s="9" customFormat="1">
      <c r="C165" s="149"/>
      <c r="D165" s="149"/>
      <c r="E165" s="149"/>
      <c r="F165" s="149"/>
      <c r="G165" s="149"/>
      <c r="H165" s="149"/>
      <c r="I165" s="149"/>
      <c r="J165" s="149"/>
      <c r="K165" s="149"/>
      <c r="L165" s="149"/>
      <c r="M165" s="149"/>
      <c r="N165" s="149"/>
      <c r="O165" s="149"/>
    </row>
    <row r="166" spans="3:15" s="9" customFormat="1">
      <c r="C166" s="149"/>
      <c r="D166" s="149"/>
      <c r="E166" s="149"/>
      <c r="F166" s="149"/>
      <c r="G166" s="149"/>
      <c r="H166" s="149"/>
      <c r="I166" s="149"/>
      <c r="J166" s="149"/>
      <c r="K166" s="149"/>
      <c r="L166" s="149"/>
      <c r="M166" s="149"/>
      <c r="N166" s="149"/>
      <c r="O166" s="149"/>
    </row>
    <row r="167" spans="3:15" s="9" customFormat="1">
      <c r="C167" s="149"/>
      <c r="D167" s="149"/>
      <c r="E167" s="149"/>
      <c r="F167" s="149"/>
      <c r="G167" s="149"/>
      <c r="H167" s="149"/>
      <c r="I167" s="149"/>
      <c r="J167" s="149"/>
      <c r="K167" s="149"/>
      <c r="L167" s="149"/>
      <c r="M167" s="149"/>
      <c r="N167" s="149"/>
      <c r="O167" s="149"/>
    </row>
    <row r="168" spans="3:15" s="9" customFormat="1">
      <c r="C168" s="149"/>
      <c r="D168" s="149"/>
      <c r="E168" s="149"/>
      <c r="F168" s="149"/>
      <c r="G168" s="149"/>
      <c r="H168" s="149"/>
      <c r="I168" s="149"/>
      <c r="J168" s="149"/>
      <c r="K168" s="149"/>
      <c r="L168" s="149"/>
      <c r="M168" s="149"/>
      <c r="N168" s="149"/>
      <c r="O168" s="149"/>
    </row>
    <row r="169" spans="3:15" s="9" customFormat="1">
      <c r="C169" s="149"/>
      <c r="D169" s="149"/>
      <c r="E169" s="149"/>
      <c r="F169" s="149"/>
      <c r="G169" s="149"/>
      <c r="H169" s="149"/>
      <c r="I169" s="149"/>
      <c r="J169" s="149"/>
      <c r="K169" s="149"/>
      <c r="L169" s="149"/>
      <c r="M169" s="149"/>
      <c r="N169" s="149"/>
      <c r="O169" s="149"/>
    </row>
    <row r="170" spans="3:15" s="9" customFormat="1">
      <c r="C170" s="149"/>
      <c r="D170" s="149"/>
      <c r="E170" s="149"/>
      <c r="F170" s="149"/>
      <c r="G170" s="149"/>
      <c r="H170" s="149"/>
      <c r="I170" s="149"/>
      <c r="J170" s="149"/>
      <c r="K170" s="149"/>
      <c r="L170" s="149"/>
      <c r="M170" s="149"/>
      <c r="N170" s="149"/>
      <c r="O170" s="149"/>
    </row>
    <row r="171" spans="3:15" s="9" customFormat="1">
      <c r="C171" s="149"/>
      <c r="D171" s="149"/>
      <c r="E171" s="149"/>
      <c r="F171" s="149"/>
      <c r="G171" s="149"/>
      <c r="H171" s="149"/>
      <c r="I171" s="149"/>
      <c r="J171" s="149"/>
      <c r="K171" s="149"/>
      <c r="L171" s="149"/>
      <c r="M171" s="149"/>
      <c r="N171" s="149"/>
      <c r="O171" s="149"/>
    </row>
    <row r="172" spans="3:15" s="9" customFormat="1">
      <c r="C172" s="149"/>
      <c r="D172" s="149"/>
      <c r="E172" s="149"/>
      <c r="F172" s="149"/>
      <c r="G172" s="149"/>
      <c r="H172" s="149"/>
      <c r="I172" s="149"/>
      <c r="J172" s="149"/>
      <c r="K172" s="149"/>
      <c r="L172" s="149"/>
      <c r="M172" s="149"/>
      <c r="N172" s="149"/>
      <c r="O172" s="149"/>
    </row>
    <row r="173" spans="3:15" s="9" customFormat="1">
      <c r="C173" s="149"/>
      <c r="D173" s="149"/>
      <c r="E173" s="149"/>
      <c r="F173" s="149"/>
      <c r="G173" s="149"/>
      <c r="H173" s="149"/>
      <c r="I173" s="149"/>
      <c r="J173" s="149"/>
      <c r="K173" s="149"/>
      <c r="L173" s="149"/>
      <c r="M173" s="149"/>
      <c r="N173" s="149"/>
      <c r="O173" s="149"/>
    </row>
    <row r="174" spans="3:15" s="9" customFormat="1">
      <c r="C174" s="149"/>
      <c r="D174" s="149"/>
      <c r="E174" s="149"/>
      <c r="F174" s="149"/>
      <c r="G174" s="149"/>
      <c r="H174" s="149"/>
      <c r="I174" s="149"/>
      <c r="J174" s="149"/>
      <c r="K174" s="149"/>
      <c r="L174" s="149"/>
      <c r="M174" s="149"/>
      <c r="N174" s="149"/>
      <c r="O174" s="149"/>
    </row>
    <row r="175" spans="3:15" s="9" customFormat="1">
      <c r="C175" s="149"/>
      <c r="D175" s="149"/>
      <c r="E175" s="149"/>
      <c r="F175" s="149"/>
      <c r="G175" s="149"/>
      <c r="H175" s="149"/>
      <c r="I175" s="149"/>
      <c r="J175" s="149"/>
      <c r="K175" s="149"/>
      <c r="L175" s="149"/>
      <c r="M175" s="149"/>
      <c r="N175" s="149"/>
      <c r="O175" s="149"/>
    </row>
    <row r="176" spans="3:15" s="9" customFormat="1">
      <c r="C176" s="149"/>
      <c r="D176" s="149"/>
      <c r="E176" s="149"/>
      <c r="F176" s="149"/>
      <c r="G176" s="149"/>
      <c r="H176" s="149"/>
      <c r="I176" s="149"/>
      <c r="J176" s="149"/>
      <c r="K176" s="149"/>
      <c r="L176" s="149"/>
      <c r="M176" s="149"/>
      <c r="N176" s="149"/>
      <c r="O176" s="149"/>
    </row>
    <row r="177" spans="3:15" s="9" customFormat="1">
      <c r="C177" s="149"/>
      <c r="D177" s="149"/>
      <c r="E177" s="149"/>
      <c r="F177" s="149"/>
      <c r="G177" s="149"/>
      <c r="H177" s="149"/>
      <c r="I177" s="149"/>
      <c r="J177" s="149"/>
      <c r="K177" s="149"/>
      <c r="L177" s="149"/>
      <c r="M177" s="149"/>
      <c r="N177" s="149"/>
      <c r="O177" s="149"/>
    </row>
    <row r="178" spans="3:15" s="9" customFormat="1">
      <c r="C178" s="149"/>
      <c r="D178" s="149"/>
      <c r="E178" s="149"/>
      <c r="F178" s="149"/>
      <c r="G178" s="149"/>
      <c r="H178" s="149"/>
      <c r="I178" s="149"/>
      <c r="J178" s="149"/>
      <c r="K178" s="149"/>
      <c r="L178" s="149"/>
      <c r="M178" s="149"/>
      <c r="N178" s="149"/>
      <c r="O178" s="149"/>
    </row>
    <row r="179" spans="3:15" s="9" customFormat="1">
      <c r="C179" s="149"/>
      <c r="D179" s="149"/>
      <c r="E179" s="149"/>
      <c r="F179" s="149"/>
      <c r="G179" s="149"/>
      <c r="H179" s="149"/>
      <c r="I179" s="149"/>
      <c r="J179" s="149"/>
      <c r="K179" s="149"/>
      <c r="L179" s="149"/>
      <c r="M179" s="149"/>
      <c r="N179" s="149"/>
      <c r="O179" s="149"/>
    </row>
    <row r="180" spans="3:15" s="9" customFormat="1">
      <c r="C180" s="149"/>
      <c r="D180" s="149"/>
      <c r="E180" s="149"/>
      <c r="F180" s="149"/>
      <c r="G180" s="149"/>
      <c r="H180" s="149"/>
      <c r="I180" s="149"/>
      <c r="J180" s="149"/>
      <c r="K180" s="149"/>
      <c r="L180" s="149"/>
      <c r="M180" s="149"/>
      <c r="N180" s="149"/>
      <c r="O180" s="149"/>
    </row>
    <row r="181" spans="3:15" s="9" customFormat="1">
      <c r="C181" s="149"/>
      <c r="D181" s="149"/>
      <c r="E181" s="149"/>
      <c r="F181" s="149"/>
      <c r="G181" s="149"/>
      <c r="H181" s="149"/>
      <c r="I181" s="149"/>
      <c r="J181" s="149"/>
      <c r="K181" s="149"/>
      <c r="L181" s="149"/>
      <c r="M181" s="149"/>
      <c r="N181" s="149"/>
      <c r="O181" s="149"/>
    </row>
    <row r="182" spans="3:15" s="9" customFormat="1">
      <c r="C182" s="149"/>
      <c r="D182" s="149"/>
      <c r="E182" s="149"/>
      <c r="F182" s="149"/>
      <c r="G182" s="149"/>
      <c r="H182" s="149"/>
      <c r="I182" s="149"/>
      <c r="J182" s="149"/>
      <c r="K182" s="149"/>
      <c r="L182" s="149"/>
      <c r="M182" s="149"/>
      <c r="N182" s="149"/>
      <c r="O182" s="149"/>
    </row>
    <row r="183" spans="3:15" s="9" customFormat="1">
      <c r="C183" s="149"/>
      <c r="D183" s="149"/>
      <c r="E183" s="149"/>
      <c r="F183" s="149"/>
      <c r="G183" s="149"/>
      <c r="H183" s="149"/>
      <c r="I183" s="149"/>
      <c r="J183" s="149"/>
      <c r="K183" s="149"/>
      <c r="L183" s="149"/>
      <c r="M183" s="149"/>
      <c r="N183" s="149"/>
      <c r="O183" s="149"/>
    </row>
    <row r="184" spans="3:15" s="9" customFormat="1">
      <c r="C184" s="149"/>
      <c r="D184" s="149"/>
      <c r="E184" s="149"/>
      <c r="F184" s="149"/>
      <c r="G184" s="149"/>
      <c r="H184" s="149"/>
      <c r="I184" s="149"/>
      <c r="J184" s="149"/>
      <c r="K184" s="149"/>
      <c r="L184" s="149"/>
      <c r="M184" s="149"/>
      <c r="N184" s="149"/>
      <c r="O184" s="149"/>
    </row>
    <row r="185" spans="3:15" s="9" customFormat="1">
      <c r="C185" s="149"/>
      <c r="D185" s="149"/>
      <c r="E185" s="149"/>
      <c r="F185" s="149"/>
      <c r="G185" s="149"/>
      <c r="H185" s="149"/>
      <c r="I185" s="149"/>
      <c r="J185" s="149"/>
      <c r="K185" s="149"/>
      <c r="L185" s="149"/>
      <c r="M185" s="149"/>
      <c r="N185" s="149"/>
      <c r="O185" s="149"/>
    </row>
    <row r="186" spans="3:15" s="9" customFormat="1">
      <c r="C186" s="149"/>
      <c r="D186" s="149"/>
      <c r="E186" s="149"/>
      <c r="F186" s="149"/>
      <c r="G186" s="149"/>
      <c r="H186" s="149"/>
      <c r="I186" s="149"/>
      <c r="J186" s="149"/>
      <c r="K186" s="149"/>
      <c r="L186" s="149"/>
      <c r="M186" s="149"/>
      <c r="N186" s="149"/>
      <c r="O186" s="149"/>
    </row>
    <row r="187" spans="3:15" s="9" customFormat="1">
      <c r="C187" s="149"/>
      <c r="D187" s="149"/>
      <c r="E187" s="149"/>
      <c r="F187" s="149"/>
      <c r="G187" s="149"/>
      <c r="H187" s="149"/>
      <c r="I187" s="149"/>
      <c r="J187" s="149"/>
      <c r="K187" s="149"/>
      <c r="L187" s="149"/>
      <c r="M187" s="149"/>
      <c r="N187" s="149"/>
      <c r="O187" s="149"/>
    </row>
    <row r="188" spans="3:15" s="9" customFormat="1">
      <c r="C188" s="149"/>
      <c r="D188" s="149"/>
      <c r="E188" s="149"/>
      <c r="F188" s="149"/>
      <c r="G188" s="149"/>
      <c r="H188" s="149"/>
      <c r="I188" s="149"/>
      <c r="J188" s="149"/>
      <c r="K188" s="149"/>
      <c r="L188" s="149"/>
      <c r="M188" s="149"/>
      <c r="N188" s="149"/>
      <c r="O188" s="149"/>
    </row>
    <row r="189" spans="3:15" s="9" customFormat="1">
      <c r="C189" s="149"/>
      <c r="D189" s="149"/>
      <c r="E189" s="149"/>
      <c r="F189" s="149"/>
      <c r="G189" s="149"/>
      <c r="H189" s="149"/>
      <c r="I189" s="149"/>
      <c r="J189" s="149"/>
      <c r="K189" s="149"/>
      <c r="L189" s="149"/>
      <c r="M189" s="149"/>
      <c r="N189" s="149"/>
      <c r="O189" s="149"/>
    </row>
    <row r="190" spans="3:15" s="9" customFormat="1">
      <c r="C190" s="149"/>
      <c r="D190" s="149"/>
      <c r="E190" s="149"/>
      <c r="F190" s="149"/>
      <c r="G190" s="149"/>
      <c r="H190" s="149"/>
      <c r="I190" s="149"/>
      <c r="J190" s="149"/>
      <c r="K190" s="149"/>
      <c r="L190" s="149"/>
      <c r="M190" s="149"/>
      <c r="N190" s="149"/>
      <c r="O190" s="149"/>
    </row>
    <row r="191" spans="3:15" s="9" customFormat="1">
      <c r="C191" s="149"/>
      <c r="D191" s="149"/>
      <c r="E191" s="149"/>
      <c r="F191" s="149"/>
      <c r="G191" s="149"/>
      <c r="H191" s="149"/>
      <c r="I191" s="149"/>
      <c r="J191" s="149"/>
      <c r="K191" s="149"/>
      <c r="L191" s="149"/>
      <c r="M191" s="149"/>
      <c r="N191" s="149"/>
      <c r="O191" s="149"/>
    </row>
    <row r="192" spans="3:15" s="9" customFormat="1">
      <c r="C192" s="149"/>
      <c r="D192" s="149"/>
      <c r="E192" s="149"/>
      <c r="F192" s="149"/>
      <c r="G192" s="149"/>
      <c r="H192" s="149"/>
      <c r="I192" s="149"/>
      <c r="J192" s="149"/>
      <c r="K192" s="149"/>
      <c r="L192" s="149"/>
      <c r="M192" s="149"/>
      <c r="N192" s="149"/>
      <c r="O192" s="149"/>
    </row>
    <row r="193" spans="3:15" s="9" customFormat="1">
      <c r="C193" s="149"/>
      <c r="D193" s="149"/>
      <c r="E193" s="149"/>
      <c r="F193" s="149"/>
      <c r="G193" s="149"/>
      <c r="H193" s="149"/>
      <c r="I193" s="149"/>
      <c r="J193" s="149"/>
      <c r="K193" s="149"/>
      <c r="L193" s="149"/>
      <c r="M193" s="149"/>
      <c r="N193" s="149"/>
      <c r="O193" s="149"/>
    </row>
    <row r="194" spans="3:15" s="9" customFormat="1">
      <c r="C194" s="149"/>
      <c r="D194" s="149"/>
      <c r="E194" s="149"/>
      <c r="F194" s="149"/>
      <c r="G194" s="149"/>
      <c r="H194" s="149"/>
      <c r="I194" s="149"/>
      <c r="J194" s="149"/>
      <c r="K194" s="149"/>
      <c r="L194" s="149"/>
      <c r="M194" s="149"/>
      <c r="N194" s="149"/>
      <c r="O194" s="149"/>
    </row>
    <row r="195" spans="3:15" s="9" customFormat="1">
      <c r="C195" s="149"/>
      <c r="D195" s="149"/>
      <c r="E195" s="149"/>
      <c r="F195" s="149"/>
      <c r="G195" s="149"/>
      <c r="H195" s="149"/>
      <c r="I195" s="149"/>
      <c r="J195" s="149"/>
      <c r="K195" s="149"/>
      <c r="L195" s="149"/>
      <c r="M195" s="149"/>
      <c r="N195" s="149"/>
      <c r="O195" s="149"/>
    </row>
    <row r="196" spans="3:15" s="9" customFormat="1">
      <c r="C196" s="149"/>
      <c r="D196" s="149"/>
      <c r="E196" s="149"/>
      <c r="F196" s="149"/>
      <c r="G196" s="149"/>
      <c r="H196" s="149"/>
      <c r="I196" s="149"/>
      <c r="J196" s="149"/>
      <c r="K196" s="149"/>
      <c r="L196" s="149"/>
      <c r="M196" s="149"/>
      <c r="N196" s="149"/>
      <c r="O196" s="149"/>
    </row>
    <row r="197" spans="3:15" s="9" customFormat="1">
      <c r="C197" s="149"/>
      <c r="D197" s="149"/>
      <c r="E197" s="149"/>
      <c r="F197" s="149"/>
      <c r="G197" s="149"/>
      <c r="H197" s="149"/>
      <c r="I197" s="149"/>
      <c r="J197" s="149"/>
      <c r="K197" s="149"/>
      <c r="L197" s="149"/>
      <c r="M197" s="149"/>
      <c r="N197" s="149"/>
      <c r="O197" s="149"/>
    </row>
    <row r="198" spans="3:15" s="9" customFormat="1">
      <c r="C198" s="149"/>
      <c r="D198" s="149"/>
      <c r="E198" s="149"/>
      <c r="F198" s="149"/>
      <c r="G198" s="149"/>
      <c r="H198" s="149"/>
      <c r="I198" s="149"/>
      <c r="J198" s="149"/>
      <c r="K198" s="149"/>
      <c r="L198" s="149"/>
      <c r="M198" s="149"/>
      <c r="N198" s="149"/>
      <c r="O198" s="149"/>
    </row>
    <row r="199" spans="3:15" s="9" customFormat="1">
      <c r="C199" s="149"/>
      <c r="D199" s="149"/>
      <c r="E199" s="149"/>
      <c r="F199" s="149"/>
      <c r="G199" s="149"/>
      <c r="H199" s="149"/>
      <c r="I199" s="149"/>
      <c r="J199" s="149"/>
      <c r="K199" s="149"/>
      <c r="L199" s="149"/>
      <c r="M199" s="149"/>
      <c r="N199" s="149"/>
      <c r="O199" s="149"/>
    </row>
    <row r="200" spans="3:15" s="9" customFormat="1">
      <c r="C200" s="149"/>
      <c r="D200" s="149"/>
      <c r="E200" s="149"/>
      <c r="F200" s="149"/>
      <c r="G200" s="149"/>
      <c r="H200" s="149"/>
      <c r="I200" s="149"/>
      <c r="J200" s="149"/>
      <c r="K200" s="149"/>
      <c r="L200" s="149"/>
      <c r="M200" s="149"/>
      <c r="N200" s="149"/>
      <c r="O200" s="149"/>
    </row>
    <row r="201" spans="3:15" s="9" customFormat="1">
      <c r="C201" s="149"/>
      <c r="D201" s="149"/>
      <c r="E201" s="149"/>
      <c r="F201" s="149"/>
      <c r="G201" s="149"/>
      <c r="H201" s="149"/>
      <c r="I201" s="149"/>
      <c r="J201" s="149"/>
      <c r="K201" s="149"/>
      <c r="L201" s="149"/>
      <c r="M201" s="149"/>
      <c r="N201" s="149"/>
      <c r="O201" s="149"/>
    </row>
    <row r="202" spans="3:15" s="9" customFormat="1">
      <c r="C202" s="149"/>
      <c r="D202" s="149"/>
      <c r="E202" s="149"/>
      <c r="F202" s="149"/>
      <c r="G202" s="149"/>
      <c r="H202" s="149"/>
      <c r="I202" s="149"/>
      <c r="J202" s="149"/>
      <c r="K202" s="149"/>
      <c r="L202" s="149"/>
      <c r="M202" s="149"/>
      <c r="N202" s="149"/>
      <c r="O202" s="149"/>
    </row>
    <row r="203" spans="3:15" s="9" customFormat="1">
      <c r="C203" s="149"/>
      <c r="D203" s="149"/>
      <c r="E203" s="149"/>
      <c r="F203" s="149"/>
      <c r="G203" s="149"/>
      <c r="H203" s="149"/>
      <c r="I203" s="149"/>
      <c r="J203" s="149"/>
      <c r="K203" s="149"/>
      <c r="L203" s="149"/>
      <c r="M203" s="149"/>
      <c r="N203" s="149"/>
      <c r="O203" s="149"/>
    </row>
    <row r="204" spans="3:15" s="9" customFormat="1">
      <c r="C204" s="149"/>
      <c r="D204" s="149"/>
      <c r="E204" s="149"/>
      <c r="F204" s="149"/>
      <c r="G204" s="149"/>
      <c r="H204" s="149"/>
      <c r="I204" s="149"/>
      <c r="J204" s="149"/>
      <c r="K204" s="149"/>
      <c r="L204" s="149"/>
      <c r="M204" s="149"/>
      <c r="N204" s="149"/>
      <c r="O204" s="149"/>
    </row>
    <row r="205" spans="3:15" s="9" customFormat="1">
      <c r="C205" s="149"/>
      <c r="D205" s="149"/>
      <c r="E205" s="149"/>
      <c r="F205" s="149"/>
      <c r="G205" s="149"/>
      <c r="H205" s="149"/>
      <c r="I205" s="149"/>
      <c r="J205" s="149"/>
      <c r="K205" s="149"/>
      <c r="L205" s="149"/>
      <c r="M205" s="149"/>
      <c r="N205" s="149"/>
      <c r="O205" s="149"/>
    </row>
    <row r="206" spans="3:15" s="9" customFormat="1">
      <c r="C206" s="149"/>
      <c r="D206" s="149"/>
      <c r="E206" s="149"/>
      <c r="F206" s="149"/>
      <c r="G206" s="149"/>
      <c r="H206" s="149"/>
      <c r="I206" s="149"/>
      <c r="J206" s="149"/>
      <c r="K206" s="149"/>
      <c r="L206" s="149"/>
      <c r="M206" s="149"/>
      <c r="N206" s="149"/>
      <c r="O206" s="149"/>
    </row>
    <row r="207" spans="3:15" s="9" customFormat="1">
      <c r="C207" s="149"/>
      <c r="D207" s="149"/>
      <c r="E207" s="149"/>
      <c r="F207" s="149"/>
      <c r="G207" s="149"/>
      <c r="H207" s="149"/>
      <c r="I207" s="149"/>
      <c r="J207" s="149"/>
      <c r="K207" s="149"/>
      <c r="L207" s="149"/>
      <c r="M207" s="149"/>
      <c r="N207" s="149"/>
      <c r="O207" s="149"/>
    </row>
    <row r="208" spans="3:15" s="9" customFormat="1">
      <c r="C208" s="149"/>
      <c r="D208" s="149"/>
      <c r="E208" s="149"/>
      <c r="F208" s="149"/>
      <c r="G208" s="149"/>
      <c r="H208" s="149"/>
      <c r="I208" s="149"/>
      <c r="J208" s="149"/>
      <c r="K208" s="149"/>
      <c r="L208" s="149"/>
      <c r="M208" s="149"/>
      <c r="N208" s="149"/>
      <c r="O208" s="149"/>
    </row>
    <row r="209" spans="3:15" s="9" customFormat="1">
      <c r="C209" s="149"/>
      <c r="D209" s="149"/>
      <c r="E209" s="149"/>
      <c r="F209" s="149"/>
      <c r="G209" s="149"/>
      <c r="H209" s="149"/>
      <c r="I209" s="149"/>
      <c r="J209" s="149"/>
      <c r="K209" s="149"/>
      <c r="L209" s="149"/>
      <c r="M209" s="149"/>
      <c r="N209" s="149"/>
      <c r="O209" s="149"/>
    </row>
    <row r="210" spans="3:15" s="9" customFormat="1">
      <c r="C210" s="149"/>
      <c r="D210" s="149"/>
      <c r="E210" s="149"/>
      <c r="F210" s="149"/>
      <c r="G210" s="149"/>
      <c r="H210" s="149"/>
      <c r="I210" s="149"/>
      <c r="J210" s="149"/>
      <c r="K210" s="149"/>
      <c r="L210" s="149"/>
      <c r="M210" s="149"/>
      <c r="N210" s="149"/>
      <c r="O210" s="149"/>
    </row>
    <row r="211" spans="3:15" s="9" customFormat="1">
      <c r="C211" s="149"/>
      <c r="D211" s="149"/>
      <c r="E211" s="149"/>
      <c r="F211" s="149"/>
      <c r="G211" s="149"/>
      <c r="H211" s="149"/>
      <c r="I211" s="149"/>
      <c r="J211" s="149"/>
      <c r="K211" s="149"/>
      <c r="L211" s="149"/>
      <c r="M211" s="149"/>
      <c r="N211" s="149"/>
      <c r="O211" s="149"/>
    </row>
    <row r="212" spans="3:15" s="9" customFormat="1">
      <c r="C212" s="149"/>
      <c r="D212" s="149"/>
      <c r="E212" s="149"/>
      <c r="F212" s="149"/>
      <c r="G212" s="149"/>
      <c r="H212" s="149"/>
      <c r="I212" s="149"/>
      <c r="J212" s="149"/>
      <c r="K212" s="149"/>
      <c r="L212" s="149"/>
      <c r="M212" s="149"/>
      <c r="N212" s="149"/>
      <c r="O212" s="149"/>
    </row>
    <row r="213" spans="3:15" s="9" customFormat="1">
      <c r="C213" s="149"/>
      <c r="D213" s="149"/>
      <c r="E213" s="149"/>
      <c r="F213" s="149"/>
      <c r="G213" s="149"/>
      <c r="H213" s="149"/>
      <c r="I213" s="149"/>
      <c r="J213" s="149"/>
      <c r="K213" s="149"/>
      <c r="L213" s="149"/>
      <c r="M213" s="149"/>
      <c r="N213" s="149"/>
      <c r="O213" s="149"/>
    </row>
    <row r="214" spans="3:15" s="9" customFormat="1">
      <c r="C214" s="149"/>
      <c r="D214" s="149"/>
      <c r="E214" s="149"/>
      <c r="F214" s="149"/>
      <c r="G214" s="149"/>
      <c r="H214" s="149"/>
      <c r="I214" s="149"/>
      <c r="J214" s="149"/>
      <c r="K214" s="149"/>
      <c r="L214" s="149"/>
      <c r="M214" s="149"/>
      <c r="N214" s="149"/>
      <c r="O214" s="149"/>
    </row>
    <row r="215" spans="3:15" s="9" customFormat="1">
      <c r="C215" s="149"/>
      <c r="D215" s="149"/>
      <c r="E215" s="149"/>
      <c r="F215" s="149"/>
      <c r="G215" s="149"/>
      <c r="H215" s="149"/>
      <c r="I215" s="149"/>
      <c r="J215" s="149"/>
      <c r="K215" s="149"/>
      <c r="L215" s="149"/>
      <c r="M215" s="149"/>
      <c r="N215" s="149"/>
      <c r="O215" s="149"/>
    </row>
    <row r="216" spans="3:15" s="9" customFormat="1">
      <c r="C216" s="149"/>
      <c r="D216" s="149"/>
      <c r="E216" s="149"/>
      <c r="F216" s="149"/>
      <c r="G216" s="149"/>
      <c r="H216" s="149"/>
      <c r="I216" s="149"/>
      <c r="J216" s="149"/>
      <c r="K216" s="149"/>
      <c r="L216" s="149"/>
      <c r="M216" s="149"/>
      <c r="N216" s="149"/>
      <c r="O216" s="149"/>
    </row>
    <row r="217" spans="3:15" s="9" customFormat="1">
      <c r="C217" s="149"/>
      <c r="D217" s="149"/>
      <c r="E217" s="149"/>
      <c r="F217" s="149"/>
      <c r="G217" s="149"/>
      <c r="H217" s="149"/>
      <c r="I217" s="149"/>
      <c r="J217" s="149"/>
      <c r="K217" s="149"/>
      <c r="L217" s="149"/>
      <c r="M217" s="149"/>
      <c r="N217" s="149"/>
      <c r="O217" s="149"/>
    </row>
    <row r="218" spans="3:15" s="9" customFormat="1">
      <c r="C218" s="149"/>
      <c r="D218" s="149"/>
      <c r="E218" s="149"/>
      <c r="F218" s="149"/>
      <c r="G218" s="149"/>
      <c r="H218" s="149"/>
      <c r="I218" s="149"/>
      <c r="J218" s="149"/>
      <c r="K218" s="149"/>
      <c r="L218" s="149"/>
      <c r="M218" s="149"/>
      <c r="N218" s="149"/>
      <c r="O218" s="149"/>
    </row>
    <row r="219" spans="3:15" s="9" customFormat="1">
      <c r="C219" s="149"/>
      <c r="D219" s="149"/>
      <c r="E219" s="149"/>
      <c r="F219" s="149"/>
      <c r="G219" s="149"/>
      <c r="H219" s="149"/>
      <c r="I219" s="149"/>
      <c r="J219" s="149"/>
      <c r="K219" s="149"/>
      <c r="L219" s="149"/>
      <c r="M219" s="149"/>
      <c r="N219" s="149"/>
      <c r="O219" s="149"/>
    </row>
    <row r="220" spans="3:15" s="9" customFormat="1">
      <c r="C220" s="149"/>
      <c r="D220" s="149"/>
      <c r="E220" s="149"/>
      <c r="F220" s="149"/>
      <c r="G220" s="149"/>
      <c r="H220" s="149"/>
      <c r="I220" s="149"/>
      <c r="J220" s="149"/>
      <c r="K220" s="149"/>
      <c r="L220" s="149"/>
      <c r="M220" s="149"/>
      <c r="N220" s="149"/>
      <c r="O220" s="149"/>
    </row>
    <row r="221" spans="3:15" s="9" customFormat="1">
      <c r="C221" s="149"/>
      <c r="D221" s="149"/>
      <c r="E221" s="149"/>
      <c r="F221" s="149"/>
      <c r="G221" s="149"/>
      <c r="H221" s="149"/>
      <c r="I221" s="149"/>
      <c r="J221" s="149"/>
      <c r="K221" s="149"/>
      <c r="L221" s="149"/>
      <c r="M221" s="149"/>
      <c r="N221" s="149"/>
      <c r="O221" s="149"/>
    </row>
    <row r="222" spans="3:15" s="9" customFormat="1">
      <c r="C222" s="149"/>
      <c r="D222" s="149"/>
      <c r="E222" s="149"/>
      <c r="F222" s="149"/>
      <c r="G222" s="149"/>
      <c r="H222" s="149"/>
      <c r="I222" s="149"/>
      <c r="J222" s="149"/>
      <c r="K222" s="149"/>
      <c r="L222" s="149"/>
      <c r="M222" s="149"/>
      <c r="N222" s="149"/>
      <c r="O222" s="149"/>
    </row>
    <row r="223" spans="3:15" s="9" customFormat="1">
      <c r="C223" s="149"/>
      <c r="D223" s="149"/>
      <c r="E223" s="149"/>
      <c r="F223" s="149"/>
      <c r="G223" s="149"/>
      <c r="H223" s="149"/>
      <c r="I223" s="149"/>
      <c r="J223" s="149"/>
      <c r="K223" s="149"/>
      <c r="L223" s="149"/>
      <c r="M223" s="149"/>
      <c r="N223" s="149"/>
      <c r="O223" s="149"/>
    </row>
    <row r="224" spans="3:15" s="9" customFormat="1">
      <c r="C224" s="149"/>
      <c r="D224" s="149"/>
      <c r="E224" s="149"/>
      <c r="F224" s="149"/>
      <c r="G224" s="149"/>
      <c r="H224" s="149"/>
      <c r="I224" s="149"/>
      <c r="J224" s="149"/>
      <c r="K224" s="149"/>
      <c r="L224" s="149"/>
      <c r="M224" s="149"/>
      <c r="N224" s="149"/>
      <c r="O224" s="149"/>
    </row>
    <row r="225" spans="3:15" s="9" customFormat="1">
      <c r="C225" s="149"/>
      <c r="D225" s="149"/>
      <c r="E225" s="149"/>
      <c r="F225" s="149"/>
      <c r="G225" s="149"/>
      <c r="H225" s="149"/>
      <c r="I225" s="149"/>
      <c r="J225" s="149"/>
      <c r="K225" s="149"/>
      <c r="L225" s="149"/>
      <c r="M225" s="149"/>
      <c r="N225" s="149"/>
      <c r="O225" s="149"/>
    </row>
    <row r="226" spans="3:15" s="9" customFormat="1">
      <c r="C226" s="149"/>
      <c r="D226" s="149"/>
      <c r="E226" s="149"/>
      <c r="F226" s="149"/>
      <c r="G226" s="149"/>
      <c r="H226" s="149"/>
      <c r="I226" s="149"/>
      <c r="J226" s="149"/>
      <c r="K226" s="149"/>
      <c r="L226" s="149"/>
      <c r="M226" s="149"/>
      <c r="N226" s="149"/>
      <c r="O226" s="149"/>
    </row>
    <row r="227" spans="3:15" s="9" customFormat="1">
      <c r="C227" s="149"/>
      <c r="D227" s="149"/>
      <c r="E227" s="149"/>
      <c r="F227" s="149"/>
      <c r="G227" s="149"/>
      <c r="H227" s="149"/>
      <c r="I227" s="149"/>
      <c r="J227" s="149"/>
      <c r="K227" s="149"/>
      <c r="L227" s="149"/>
      <c r="M227" s="149"/>
      <c r="N227" s="149"/>
      <c r="O227" s="149"/>
    </row>
    <row r="228" spans="3:15" s="9" customFormat="1">
      <c r="C228" s="149"/>
      <c r="D228" s="149"/>
      <c r="E228" s="149"/>
      <c r="F228" s="149"/>
      <c r="G228" s="149"/>
      <c r="H228" s="149"/>
      <c r="I228" s="149"/>
      <c r="J228" s="149"/>
      <c r="K228" s="149"/>
      <c r="L228" s="149"/>
      <c r="M228" s="149"/>
      <c r="N228" s="149"/>
      <c r="O228" s="149"/>
    </row>
    <row r="229" spans="3:15" s="9" customFormat="1">
      <c r="C229" s="149"/>
      <c r="D229" s="149"/>
      <c r="E229" s="149"/>
      <c r="F229" s="149"/>
      <c r="G229" s="149"/>
      <c r="H229" s="149"/>
      <c r="I229" s="149"/>
      <c r="J229" s="149"/>
      <c r="K229" s="149"/>
      <c r="L229" s="149"/>
      <c r="M229" s="149"/>
      <c r="N229" s="149"/>
      <c r="O229" s="149"/>
    </row>
    <row r="230" spans="3:15" s="9" customFormat="1">
      <c r="C230" s="149"/>
      <c r="D230" s="149"/>
      <c r="E230" s="149"/>
      <c r="F230" s="149"/>
      <c r="G230" s="149"/>
      <c r="H230" s="149"/>
      <c r="I230" s="149"/>
      <c r="J230" s="149"/>
      <c r="K230" s="149"/>
      <c r="L230" s="149"/>
      <c r="M230" s="149"/>
      <c r="N230" s="149"/>
      <c r="O230" s="149"/>
    </row>
    <row r="231" spans="3:15" s="9" customFormat="1">
      <c r="C231" s="149"/>
      <c r="D231" s="149"/>
      <c r="E231" s="149"/>
      <c r="F231" s="149"/>
      <c r="G231" s="149"/>
      <c r="H231" s="149"/>
      <c r="I231" s="149"/>
      <c r="J231" s="149"/>
      <c r="K231" s="149"/>
      <c r="L231" s="149"/>
      <c r="M231" s="149"/>
      <c r="N231" s="149"/>
      <c r="O231" s="149"/>
    </row>
    <row r="232" spans="3:15" s="9" customFormat="1">
      <c r="C232" s="149"/>
      <c r="D232" s="149"/>
      <c r="E232" s="149"/>
      <c r="F232" s="149"/>
      <c r="G232" s="149"/>
      <c r="H232" s="149"/>
      <c r="I232" s="149"/>
      <c r="J232" s="149"/>
      <c r="K232" s="149"/>
      <c r="L232" s="149"/>
      <c r="M232" s="149"/>
      <c r="N232" s="149"/>
      <c r="O232" s="149"/>
    </row>
    <row r="233" spans="3:15" s="9" customFormat="1">
      <c r="C233" s="149"/>
      <c r="D233" s="149"/>
      <c r="E233" s="149"/>
      <c r="F233" s="149"/>
      <c r="G233" s="149"/>
      <c r="H233" s="149"/>
      <c r="I233" s="149"/>
      <c r="J233" s="149"/>
      <c r="K233" s="149"/>
      <c r="L233" s="149"/>
      <c r="M233" s="149"/>
      <c r="N233" s="149"/>
      <c r="O233" s="149"/>
    </row>
    <row r="234" spans="3:15" s="9" customFormat="1">
      <c r="C234" s="149"/>
      <c r="D234" s="149"/>
      <c r="E234" s="149"/>
      <c r="F234" s="149"/>
      <c r="G234" s="149"/>
      <c r="H234" s="149"/>
      <c r="I234" s="149"/>
      <c r="J234" s="149"/>
      <c r="K234" s="149"/>
      <c r="L234" s="149"/>
      <c r="M234" s="149"/>
      <c r="N234" s="149"/>
      <c r="O234" s="149"/>
    </row>
    <row r="235" spans="3:15" s="9" customFormat="1">
      <c r="C235" s="149"/>
      <c r="D235" s="149"/>
      <c r="E235" s="149"/>
      <c r="F235" s="149"/>
      <c r="G235" s="149"/>
      <c r="H235" s="149"/>
      <c r="I235" s="149"/>
      <c r="J235" s="149"/>
      <c r="K235" s="149"/>
      <c r="L235" s="149"/>
      <c r="M235" s="149"/>
      <c r="N235" s="149"/>
      <c r="O235" s="149"/>
    </row>
    <row r="236" spans="3:15" s="9" customFormat="1">
      <c r="C236" s="149"/>
      <c r="D236" s="149"/>
      <c r="E236" s="149"/>
      <c r="F236" s="149"/>
      <c r="G236" s="149"/>
      <c r="H236" s="149"/>
      <c r="I236" s="149"/>
      <c r="J236" s="149"/>
      <c r="K236" s="149"/>
      <c r="L236" s="149"/>
      <c r="M236" s="149"/>
      <c r="N236" s="149"/>
      <c r="O236" s="149"/>
    </row>
    <row r="237" spans="3:15" s="9" customFormat="1">
      <c r="C237" s="149"/>
      <c r="D237" s="149"/>
      <c r="E237" s="149"/>
      <c r="F237" s="149"/>
      <c r="G237" s="149"/>
      <c r="H237" s="149"/>
      <c r="I237" s="149"/>
      <c r="J237" s="149"/>
      <c r="K237" s="149"/>
      <c r="L237" s="149"/>
      <c r="M237" s="149"/>
      <c r="N237" s="149"/>
      <c r="O237" s="149"/>
    </row>
    <row r="238" spans="3:15" s="9" customFormat="1">
      <c r="C238" s="149"/>
      <c r="D238" s="149"/>
      <c r="E238" s="149"/>
      <c r="F238" s="149"/>
      <c r="G238" s="149"/>
      <c r="H238" s="149"/>
      <c r="I238" s="149"/>
      <c r="J238" s="149"/>
      <c r="K238" s="149"/>
      <c r="L238" s="149"/>
      <c r="M238" s="149"/>
      <c r="N238" s="149"/>
      <c r="O238" s="149"/>
    </row>
    <row r="239" spans="3:15" s="9" customFormat="1">
      <c r="C239" s="149"/>
      <c r="D239" s="149"/>
      <c r="E239" s="149"/>
      <c r="F239" s="149"/>
      <c r="G239" s="149"/>
      <c r="H239" s="149"/>
      <c r="I239" s="149"/>
      <c r="J239" s="149"/>
      <c r="K239" s="149"/>
      <c r="L239" s="149"/>
      <c r="M239" s="149"/>
      <c r="N239" s="149"/>
      <c r="O239" s="149"/>
    </row>
    <row r="240" spans="3:15" s="9" customFormat="1">
      <c r="C240" s="149"/>
      <c r="D240" s="149"/>
      <c r="E240" s="149"/>
      <c r="F240" s="149"/>
      <c r="G240" s="149"/>
      <c r="H240" s="149"/>
      <c r="I240" s="149"/>
      <c r="J240" s="149"/>
      <c r="K240" s="149"/>
      <c r="L240" s="149"/>
      <c r="M240" s="149"/>
      <c r="N240" s="149"/>
      <c r="O240" s="149"/>
    </row>
    <row r="241" spans="3:15" s="9" customFormat="1">
      <c r="C241" s="149"/>
      <c r="D241" s="149"/>
      <c r="E241" s="149"/>
      <c r="F241" s="149"/>
      <c r="G241" s="149"/>
      <c r="H241" s="149"/>
      <c r="I241" s="149"/>
      <c r="J241" s="149"/>
      <c r="K241" s="149"/>
      <c r="L241" s="149"/>
      <c r="M241" s="149"/>
      <c r="N241" s="149"/>
      <c r="O241" s="149"/>
    </row>
    <row r="242" spans="3:15" s="9" customFormat="1">
      <c r="C242" s="149"/>
      <c r="D242" s="149"/>
      <c r="E242" s="149"/>
      <c r="F242" s="149"/>
      <c r="G242" s="149"/>
      <c r="H242" s="149"/>
      <c r="I242" s="149"/>
      <c r="J242" s="149"/>
      <c r="K242" s="149"/>
      <c r="L242" s="149"/>
      <c r="M242" s="149"/>
      <c r="N242" s="149"/>
      <c r="O242" s="149"/>
    </row>
    <row r="243" spans="3:15" s="9" customFormat="1">
      <c r="C243" s="149"/>
      <c r="D243" s="149"/>
      <c r="E243" s="149"/>
      <c r="F243" s="149"/>
      <c r="G243" s="149"/>
      <c r="H243" s="149"/>
      <c r="I243" s="149"/>
      <c r="J243" s="149"/>
      <c r="K243" s="149"/>
      <c r="L243" s="149"/>
      <c r="M243" s="149"/>
      <c r="N243" s="149"/>
      <c r="O243" s="149"/>
    </row>
    <row r="244" spans="3:15" s="9" customFormat="1">
      <c r="C244" s="149"/>
      <c r="D244" s="149"/>
      <c r="E244" s="149"/>
      <c r="F244" s="149"/>
      <c r="G244" s="149"/>
      <c r="H244" s="149"/>
      <c r="I244" s="149"/>
      <c r="J244" s="149"/>
      <c r="K244" s="149"/>
      <c r="L244" s="149"/>
      <c r="M244" s="149"/>
      <c r="N244" s="149"/>
      <c r="O244" s="149"/>
    </row>
    <row r="245" spans="3:15" s="9" customFormat="1">
      <c r="C245" s="149"/>
      <c r="D245" s="149"/>
      <c r="E245" s="149"/>
      <c r="F245" s="149"/>
      <c r="G245" s="149"/>
      <c r="H245" s="149"/>
      <c r="I245" s="149"/>
      <c r="J245" s="149"/>
      <c r="K245" s="149"/>
      <c r="L245" s="149"/>
      <c r="M245" s="149"/>
      <c r="N245" s="149"/>
      <c r="O245" s="149"/>
    </row>
    <row r="246" spans="3:15" s="9" customFormat="1">
      <c r="C246" s="149"/>
      <c r="D246" s="149"/>
      <c r="E246" s="149"/>
      <c r="F246" s="149"/>
      <c r="G246" s="149"/>
      <c r="H246" s="149"/>
      <c r="I246" s="149"/>
      <c r="J246" s="149"/>
      <c r="K246" s="149"/>
      <c r="L246" s="149"/>
      <c r="M246" s="149"/>
      <c r="N246" s="149"/>
      <c r="O246" s="149"/>
    </row>
    <row r="247" spans="3:15" s="9" customFormat="1">
      <c r="C247" s="149"/>
      <c r="D247" s="149"/>
      <c r="E247" s="149"/>
      <c r="F247" s="149"/>
      <c r="G247" s="149"/>
      <c r="H247" s="149"/>
      <c r="I247" s="149"/>
      <c r="J247" s="149"/>
      <c r="K247" s="149"/>
      <c r="L247" s="149"/>
      <c r="M247" s="149"/>
      <c r="N247" s="149"/>
      <c r="O247" s="149"/>
    </row>
    <row r="248" spans="3:15" s="9" customFormat="1">
      <c r="C248" s="149"/>
      <c r="D248" s="149"/>
      <c r="E248" s="149"/>
      <c r="F248" s="149"/>
      <c r="G248" s="149"/>
      <c r="H248" s="149"/>
      <c r="I248" s="149"/>
      <c r="J248" s="149"/>
      <c r="K248" s="149"/>
      <c r="L248" s="149"/>
      <c r="M248" s="149"/>
      <c r="N248" s="149"/>
      <c r="O248" s="149"/>
    </row>
    <row r="249" spans="3:15" s="9" customFormat="1">
      <c r="C249" s="149"/>
      <c r="D249" s="149"/>
      <c r="E249" s="149"/>
      <c r="F249" s="149"/>
      <c r="G249" s="149"/>
      <c r="H249" s="149"/>
      <c r="I249" s="149"/>
      <c r="J249" s="149"/>
      <c r="K249" s="149"/>
      <c r="L249" s="149"/>
      <c r="M249" s="149"/>
      <c r="N249" s="149"/>
      <c r="O249" s="149"/>
    </row>
    <row r="250" spans="3:15" s="9" customFormat="1">
      <c r="C250" s="149"/>
      <c r="D250" s="149"/>
      <c r="E250" s="149"/>
      <c r="F250" s="149"/>
      <c r="G250" s="149"/>
      <c r="H250" s="149"/>
      <c r="I250" s="149"/>
      <c r="J250" s="149"/>
      <c r="K250" s="149"/>
      <c r="L250" s="149"/>
      <c r="M250" s="149"/>
      <c r="N250" s="149"/>
      <c r="O250" s="149"/>
    </row>
    <row r="251" spans="3:15" s="9" customFormat="1">
      <c r="C251" s="149"/>
      <c r="D251" s="149"/>
      <c r="E251" s="149"/>
      <c r="F251" s="149"/>
      <c r="G251" s="149"/>
      <c r="H251" s="149"/>
      <c r="I251" s="149"/>
      <c r="J251" s="149"/>
      <c r="K251" s="149"/>
      <c r="L251" s="149"/>
      <c r="M251" s="149"/>
      <c r="N251" s="149"/>
      <c r="O251" s="149"/>
    </row>
    <row r="252" spans="3:15" s="9" customFormat="1">
      <c r="C252" s="149"/>
      <c r="D252" s="149"/>
      <c r="E252" s="149"/>
      <c r="F252" s="149"/>
      <c r="G252" s="149"/>
      <c r="H252" s="149"/>
      <c r="I252" s="149"/>
      <c r="J252" s="149"/>
      <c r="K252" s="149"/>
      <c r="L252" s="149"/>
      <c r="M252" s="149"/>
      <c r="N252" s="149"/>
      <c r="O252" s="149"/>
    </row>
    <row r="253" spans="3:15" s="9" customFormat="1">
      <c r="C253" s="149"/>
      <c r="D253" s="149"/>
      <c r="E253" s="149"/>
      <c r="F253" s="149"/>
      <c r="G253" s="149"/>
      <c r="H253" s="149"/>
      <c r="I253" s="149"/>
      <c r="J253" s="149"/>
      <c r="K253" s="149"/>
      <c r="L253" s="149"/>
      <c r="M253" s="149"/>
      <c r="N253" s="149"/>
      <c r="O253" s="149"/>
    </row>
    <row r="254" spans="3:15" s="9" customFormat="1">
      <c r="C254" s="149"/>
      <c r="D254" s="149"/>
      <c r="E254" s="149"/>
      <c r="F254" s="149"/>
      <c r="G254" s="149"/>
      <c r="H254" s="149"/>
      <c r="I254" s="149"/>
      <c r="J254" s="149"/>
      <c r="K254" s="149"/>
      <c r="L254" s="149"/>
      <c r="M254" s="149"/>
      <c r="N254" s="149"/>
      <c r="O254" s="149"/>
    </row>
    <row r="255" spans="3:15" s="9" customFormat="1">
      <c r="C255" s="149"/>
      <c r="D255" s="149"/>
      <c r="E255" s="149"/>
      <c r="F255" s="149"/>
      <c r="G255" s="149"/>
      <c r="H255" s="149"/>
      <c r="I255" s="149"/>
      <c r="J255" s="149"/>
      <c r="K255" s="149"/>
      <c r="L255" s="149"/>
      <c r="M255" s="149"/>
      <c r="N255" s="149"/>
      <c r="O255" s="149"/>
    </row>
    <row r="256" spans="3:15" s="9" customFormat="1">
      <c r="C256" s="149"/>
      <c r="D256" s="149"/>
      <c r="E256" s="149"/>
      <c r="F256" s="149"/>
      <c r="G256" s="149"/>
      <c r="H256" s="149"/>
      <c r="I256" s="149"/>
      <c r="J256" s="149"/>
      <c r="K256" s="149"/>
      <c r="L256" s="149"/>
      <c r="M256" s="149"/>
      <c r="N256" s="149"/>
      <c r="O256" s="149"/>
    </row>
    <row r="257" spans="3:15" s="9" customFormat="1">
      <c r="C257" s="149"/>
      <c r="D257" s="149"/>
      <c r="E257" s="149"/>
      <c r="F257" s="149"/>
      <c r="G257" s="149"/>
      <c r="H257" s="149"/>
      <c r="I257" s="149"/>
      <c r="J257" s="149"/>
      <c r="K257" s="149"/>
      <c r="L257" s="149"/>
      <c r="M257" s="149"/>
      <c r="N257" s="149"/>
      <c r="O257" s="149"/>
    </row>
    <row r="258" spans="3:15" s="9" customFormat="1">
      <c r="C258" s="149"/>
      <c r="D258" s="149"/>
      <c r="E258" s="149"/>
      <c r="F258" s="149"/>
      <c r="G258" s="149"/>
      <c r="H258" s="149"/>
      <c r="I258" s="149"/>
      <c r="J258" s="149"/>
      <c r="K258" s="149"/>
      <c r="L258" s="149"/>
      <c r="M258" s="149"/>
      <c r="N258" s="149"/>
      <c r="O258" s="149"/>
    </row>
    <row r="259" spans="3:15" s="9" customFormat="1">
      <c r="C259" s="149"/>
      <c r="D259" s="149"/>
      <c r="E259" s="149"/>
      <c r="F259" s="149"/>
      <c r="G259" s="149"/>
      <c r="H259" s="149"/>
      <c r="I259" s="149"/>
      <c r="J259" s="149"/>
      <c r="K259" s="149"/>
      <c r="L259" s="149"/>
      <c r="M259" s="149"/>
      <c r="N259" s="149"/>
      <c r="O259" s="149"/>
    </row>
    <row r="260" spans="3:15" s="9" customFormat="1">
      <c r="C260" s="149"/>
      <c r="D260" s="149"/>
      <c r="E260" s="149"/>
      <c r="F260" s="149"/>
      <c r="G260" s="149"/>
      <c r="H260" s="149"/>
      <c r="I260" s="149"/>
      <c r="J260" s="149"/>
      <c r="K260" s="149"/>
      <c r="L260" s="149"/>
      <c r="M260" s="149"/>
      <c r="N260" s="149"/>
      <c r="O260" s="149"/>
    </row>
    <row r="261" spans="3:15" s="9" customFormat="1">
      <c r="C261" s="149"/>
      <c r="D261" s="149"/>
      <c r="E261" s="149"/>
      <c r="F261" s="149"/>
      <c r="G261" s="149"/>
      <c r="H261" s="149"/>
      <c r="I261" s="149"/>
      <c r="J261" s="149"/>
      <c r="K261" s="149"/>
      <c r="L261" s="149"/>
      <c r="M261" s="149"/>
      <c r="N261" s="149"/>
      <c r="O261" s="149"/>
    </row>
    <row r="262" spans="3:15" s="9" customFormat="1">
      <c r="C262" s="149"/>
      <c r="D262" s="149"/>
      <c r="E262" s="149"/>
      <c r="F262" s="149"/>
      <c r="G262" s="149"/>
      <c r="H262" s="149"/>
      <c r="I262" s="149"/>
      <c r="J262" s="149"/>
      <c r="K262" s="149"/>
      <c r="L262" s="149"/>
      <c r="M262" s="149"/>
      <c r="N262" s="149"/>
      <c r="O262" s="149"/>
    </row>
    <row r="263" spans="3:15" s="9" customFormat="1">
      <c r="C263" s="149"/>
      <c r="D263" s="149"/>
      <c r="E263" s="149"/>
      <c r="F263" s="149"/>
      <c r="G263" s="149"/>
      <c r="H263" s="149"/>
      <c r="I263" s="149"/>
      <c r="J263" s="149"/>
      <c r="K263" s="149"/>
      <c r="L263" s="149"/>
      <c r="M263" s="149"/>
      <c r="N263" s="149"/>
      <c r="O263" s="149"/>
    </row>
    <row r="264" spans="3:15" s="9" customFormat="1">
      <c r="C264" s="149"/>
      <c r="D264" s="149"/>
      <c r="E264" s="149"/>
      <c r="F264" s="149"/>
      <c r="G264" s="149"/>
      <c r="H264" s="149"/>
      <c r="I264" s="149"/>
      <c r="J264" s="149"/>
      <c r="K264" s="149"/>
      <c r="L264" s="149"/>
      <c r="M264" s="149"/>
      <c r="N264" s="149"/>
      <c r="O264" s="149"/>
    </row>
    <row r="265" spans="3:15" s="9" customFormat="1">
      <c r="C265" s="149"/>
      <c r="D265" s="149"/>
      <c r="E265" s="149"/>
      <c r="F265" s="149"/>
      <c r="G265" s="149"/>
      <c r="H265" s="149"/>
      <c r="I265" s="149"/>
      <c r="J265" s="149"/>
      <c r="K265" s="149"/>
      <c r="L265" s="149"/>
      <c r="M265" s="149"/>
      <c r="N265" s="149"/>
      <c r="O265" s="149"/>
    </row>
    <row r="266" spans="3:15" s="9" customFormat="1">
      <c r="C266" s="149"/>
      <c r="D266" s="149"/>
      <c r="E266" s="149"/>
      <c r="F266" s="149"/>
      <c r="G266" s="149"/>
      <c r="H266" s="149"/>
      <c r="I266" s="149"/>
      <c r="J266" s="149"/>
      <c r="K266" s="149"/>
      <c r="L266" s="149"/>
      <c r="M266" s="149"/>
      <c r="N266" s="149"/>
      <c r="O266" s="149"/>
    </row>
    <row r="267" spans="3:15" s="9" customFormat="1">
      <c r="C267" s="149"/>
      <c r="D267" s="149"/>
      <c r="E267" s="149"/>
      <c r="F267" s="149"/>
      <c r="G267" s="149"/>
      <c r="H267" s="149"/>
      <c r="I267" s="149"/>
      <c r="J267" s="149"/>
      <c r="K267" s="149"/>
      <c r="L267" s="149"/>
      <c r="M267" s="149"/>
      <c r="N267" s="149"/>
      <c r="O267" s="149"/>
    </row>
    <row r="268" spans="3:15" s="9" customFormat="1">
      <c r="C268" s="149"/>
      <c r="D268" s="149"/>
      <c r="E268" s="149"/>
      <c r="F268" s="149"/>
      <c r="G268" s="149"/>
      <c r="H268" s="149"/>
      <c r="I268" s="149"/>
      <c r="J268" s="149"/>
      <c r="K268" s="149"/>
      <c r="L268" s="149"/>
      <c r="M268" s="149"/>
      <c r="N268" s="149"/>
      <c r="O268" s="149"/>
    </row>
    <row r="269" spans="3:15" s="9" customFormat="1">
      <c r="C269" s="149"/>
      <c r="D269" s="149"/>
      <c r="E269" s="149"/>
      <c r="F269" s="149"/>
      <c r="G269" s="149"/>
      <c r="H269" s="149"/>
      <c r="I269" s="149"/>
      <c r="J269" s="149"/>
      <c r="K269" s="149"/>
      <c r="L269" s="149"/>
      <c r="M269" s="149"/>
      <c r="N269" s="149"/>
      <c r="O269" s="149"/>
    </row>
    <row r="270" spans="3:15" s="9" customFormat="1">
      <c r="C270" s="149"/>
      <c r="D270" s="149"/>
      <c r="E270" s="149"/>
      <c r="F270" s="149"/>
      <c r="G270" s="149"/>
      <c r="H270" s="149"/>
      <c r="I270" s="149"/>
      <c r="J270" s="149"/>
      <c r="K270" s="149"/>
      <c r="L270" s="149"/>
      <c r="M270" s="149"/>
      <c r="N270" s="149"/>
      <c r="O270" s="149"/>
    </row>
    <row r="271" spans="3:15" s="9" customFormat="1">
      <c r="C271" s="149"/>
      <c r="D271" s="149"/>
      <c r="E271" s="149"/>
      <c r="F271" s="149"/>
      <c r="G271" s="149"/>
      <c r="H271" s="149"/>
      <c r="I271" s="149"/>
      <c r="J271" s="149"/>
      <c r="K271" s="149"/>
      <c r="L271" s="149"/>
      <c r="M271" s="149"/>
      <c r="N271" s="149"/>
      <c r="O271" s="149"/>
    </row>
    <row r="272" spans="3:15" s="9" customFormat="1">
      <c r="C272" s="149"/>
      <c r="D272" s="149"/>
      <c r="E272" s="149"/>
      <c r="F272" s="149"/>
      <c r="G272" s="149"/>
      <c r="H272" s="149"/>
      <c r="I272" s="149"/>
      <c r="J272" s="149"/>
      <c r="K272" s="149"/>
      <c r="L272" s="149"/>
      <c r="M272" s="149"/>
      <c r="N272" s="149"/>
      <c r="O272" s="149"/>
    </row>
    <row r="273" spans="3:15" s="9" customFormat="1">
      <c r="C273" s="149"/>
      <c r="D273" s="149"/>
      <c r="E273" s="149"/>
      <c r="F273" s="149"/>
      <c r="G273" s="149"/>
      <c r="H273" s="149"/>
      <c r="I273" s="149"/>
      <c r="J273" s="149"/>
      <c r="K273" s="149"/>
      <c r="L273" s="149"/>
      <c r="M273" s="149"/>
      <c r="N273" s="149"/>
      <c r="O273" s="149"/>
    </row>
    <row r="274" spans="3:15" s="9" customFormat="1">
      <c r="C274" s="149"/>
      <c r="D274" s="149"/>
      <c r="E274" s="149"/>
      <c r="F274" s="149"/>
      <c r="G274" s="149"/>
      <c r="H274" s="149"/>
      <c r="I274" s="149"/>
      <c r="J274" s="149"/>
      <c r="K274" s="149"/>
      <c r="L274" s="149"/>
      <c r="M274" s="149"/>
      <c r="N274" s="149"/>
      <c r="O274" s="149"/>
    </row>
    <row r="275" spans="3:15" s="9" customFormat="1">
      <c r="C275" s="149"/>
      <c r="D275" s="149"/>
      <c r="E275" s="149"/>
      <c r="F275" s="149"/>
      <c r="G275" s="149"/>
      <c r="H275" s="149"/>
      <c r="I275" s="149"/>
      <c r="J275" s="149"/>
      <c r="K275" s="149"/>
      <c r="L275" s="149"/>
      <c r="M275" s="149"/>
      <c r="N275" s="149"/>
      <c r="O275" s="149"/>
    </row>
    <row r="276" spans="3:15" s="9" customFormat="1">
      <c r="C276" s="149"/>
      <c r="D276" s="149"/>
      <c r="E276" s="149"/>
      <c r="F276" s="149"/>
      <c r="G276" s="149"/>
      <c r="H276" s="149"/>
      <c r="I276" s="149"/>
      <c r="J276" s="149"/>
      <c r="K276" s="149"/>
      <c r="L276" s="149"/>
      <c r="M276" s="149"/>
      <c r="N276" s="149"/>
      <c r="O276" s="149"/>
    </row>
    <row r="277" spans="3:15" s="9" customFormat="1">
      <c r="C277" s="149"/>
      <c r="D277" s="149"/>
      <c r="E277" s="149"/>
      <c r="F277" s="149"/>
      <c r="G277" s="149"/>
      <c r="H277" s="149"/>
      <c r="I277" s="149"/>
      <c r="J277" s="149"/>
      <c r="K277" s="149"/>
      <c r="L277" s="149"/>
      <c r="M277" s="149"/>
      <c r="N277" s="149"/>
      <c r="O277" s="149"/>
    </row>
    <row r="278" spans="3:15" s="9" customFormat="1">
      <c r="C278" s="149"/>
      <c r="D278" s="149"/>
      <c r="E278" s="149"/>
      <c r="F278" s="149"/>
      <c r="G278" s="149"/>
      <c r="H278" s="149"/>
      <c r="I278" s="149"/>
      <c r="J278" s="149"/>
      <c r="K278" s="149"/>
      <c r="L278" s="149"/>
      <c r="M278" s="149"/>
      <c r="N278" s="149"/>
      <c r="O278" s="149"/>
    </row>
    <row r="279" spans="3:15" s="9" customFormat="1">
      <c r="C279" s="149"/>
      <c r="D279" s="149"/>
      <c r="E279" s="149"/>
      <c r="F279" s="149"/>
      <c r="G279" s="149"/>
      <c r="H279" s="149"/>
      <c r="I279" s="149"/>
      <c r="J279" s="149"/>
      <c r="K279" s="149"/>
      <c r="L279" s="149"/>
      <c r="M279" s="149"/>
      <c r="N279" s="149"/>
      <c r="O279" s="149"/>
    </row>
    <row r="280" spans="3:15" s="9" customFormat="1">
      <c r="C280" s="149"/>
      <c r="D280" s="149"/>
      <c r="E280" s="149"/>
      <c r="F280" s="149"/>
      <c r="G280" s="149"/>
      <c r="H280" s="149"/>
      <c r="I280" s="149"/>
      <c r="J280" s="149"/>
      <c r="K280" s="149"/>
      <c r="L280" s="149"/>
      <c r="M280" s="149"/>
      <c r="N280" s="149"/>
      <c r="O280" s="149"/>
    </row>
    <row r="281" spans="3:15" s="9" customFormat="1">
      <c r="C281" s="149"/>
      <c r="D281" s="149"/>
      <c r="E281" s="149"/>
      <c r="F281" s="149"/>
      <c r="G281" s="149"/>
      <c r="H281" s="149"/>
      <c r="I281" s="149"/>
      <c r="J281" s="149"/>
      <c r="K281" s="149"/>
      <c r="L281" s="149"/>
      <c r="M281" s="149"/>
      <c r="N281" s="149"/>
      <c r="O281" s="149"/>
    </row>
    <row r="282" spans="3:15" s="9" customFormat="1">
      <c r="C282" s="149"/>
      <c r="D282" s="149"/>
      <c r="E282" s="149"/>
      <c r="F282" s="149"/>
      <c r="G282" s="149"/>
      <c r="H282" s="149"/>
      <c r="I282" s="149"/>
      <c r="J282" s="149"/>
      <c r="K282" s="149"/>
      <c r="L282" s="149"/>
      <c r="M282" s="149"/>
      <c r="N282" s="149"/>
      <c r="O282" s="149"/>
    </row>
    <row r="283" spans="3:15" s="9" customFormat="1">
      <c r="C283" s="149"/>
      <c r="D283" s="149"/>
      <c r="E283" s="149"/>
      <c r="F283" s="149"/>
      <c r="G283" s="149"/>
      <c r="H283" s="149"/>
      <c r="I283" s="149"/>
      <c r="J283" s="149"/>
      <c r="K283" s="149"/>
      <c r="L283" s="149"/>
      <c r="M283" s="149"/>
      <c r="N283" s="149"/>
      <c r="O283" s="149"/>
    </row>
    <row r="284" spans="3:15" s="9" customFormat="1">
      <c r="C284" s="149"/>
      <c r="D284" s="149"/>
      <c r="E284" s="149"/>
      <c r="F284" s="149"/>
      <c r="G284" s="149"/>
      <c r="H284" s="149"/>
      <c r="I284" s="149"/>
      <c r="J284" s="149"/>
      <c r="K284" s="149"/>
      <c r="L284" s="149"/>
      <c r="M284" s="149"/>
      <c r="N284" s="149"/>
      <c r="O284" s="149"/>
    </row>
    <row r="285" spans="3:15" s="9" customFormat="1">
      <c r="C285" s="149"/>
      <c r="D285" s="149"/>
      <c r="E285" s="149"/>
      <c r="F285" s="149"/>
      <c r="G285" s="149"/>
      <c r="H285" s="149"/>
      <c r="I285" s="149"/>
      <c r="J285" s="149"/>
      <c r="K285" s="149"/>
      <c r="L285" s="149"/>
      <c r="M285" s="149"/>
      <c r="N285" s="149"/>
      <c r="O285" s="149"/>
    </row>
    <row r="286" spans="3:15" s="9" customFormat="1">
      <c r="C286" s="149"/>
      <c r="D286" s="149"/>
      <c r="E286" s="149"/>
      <c r="F286" s="149"/>
      <c r="G286" s="149"/>
      <c r="H286" s="149"/>
      <c r="I286" s="149"/>
      <c r="J286" s="149"/>
      <c r="K286" s="149"/>
      <c r="L286" s="149"/>
      <c r="M286" s="149"/>
      <c r="N286" s="149"/>
      <c r="O286" s="149"/>
    </row>
    <row r="287" spans="3:15" s="9" customFormat="1">
      <c r="C287" s="149"/>
      <c r="D287" s="149"/>
      <c r="E287" s="149"/>
      <c r="F287" s="149"/>
      <c r="G287" s="149"/>
      <c r="H287" s="149"/>
      <c r="I287" s="149"/>
      <c r="J287" s="149"/>
      <c r="K287" s="149"/>
      <c r="L287" s="149"/>
      <c r="M287" s="149"/>
      <c r="N287" s="149"/>
      <c r="O287" s="149"/>
    </row>
    <row r="288" spans="3:15" s="9" customFormat="1">
      <c r="C288" s="149"/>
      <c r="D288" s="149"/>
      <c r="E288" s="149"/>
      <c r="F288" s="149"/>
      <c r="G288" s="149"/>
      <c r="H288" s="149"/>
      <c r="I288" s="149"/>
      <c r="J288" s="149"/>
      <c r="K288" s="149"/>
      <c r="L288" s="149"/>
      <c r="M288" s="149"/>
      <c r="N288" s="149"/>
      <c r="O288" s="149"/>
    </row>
    <row r="289" spans="3:15" s="9" customFormat="1">
      <c r="C289" s="149"/>
      <c r="D289" s="149"/>
      <c r="E289" s="149"/>
      <c r="F289" s="149"/>
      <c r="G289" s="149"/>
      <c r="H289" s="149"/>
      <c r="I289" s="149"/>
      <c r="J289" s="149"/>
      <c r="K289" s="149"/>
      <c r="L289" s="149"/>
      <c r="M289" s="149"/>
      <c r="N289" s="149"/>
      <c r="O289" s="149"/>
    </row>
    <row r="290" spans="3:15" s="9" customFormat="1">
      <c r="C290" s="149"/>
      <c r="D290" s="149"/>
      <c r="E290" s="149"/>
      <c r="F290" s="149"/>
      <c r="G290" s="149"/>
      <c r="H290" s="149"/>
      <c r="I290" s="149"/>
      <c r="J290" s="149"/>
      <c r="K290" s="149"/>
      <c r="L290" s="149"/>
      <c r="M290" s="149"/>
      <c r="N290" s="149"/>
      <c r="O290" s="149"/>
    </row>
    <row r="291" spans="3:15" s="9" customFormat="1">
      <c r="C291" s="149"/>
      <c r="D291" s="149"/>
      <c r="E291" s="149"/>
      <c r="F291" s="149"/>
      <c r="G291" s="149"/>
      <c r="H291" s="149"/>
      <c r="I291" s="149"/>
      <c r="J291" s="149"/>
      <c r="K291" s="149"/>
      <c r="L291" s="149"/>
      <c r="M291" s="149"/>
      <c r="N291" s="149"/>
      <c r="O291" s="149"/>
    </row>
    <row r="292" spans="3:15" s="9" customFormat="1">
      <c r="C292" s="149"/>
      <c r="D292" s="149"/>
      <c r="E292" s="149"/>
      <c r="F292" s="149"/>
      <c r="G292" s="149"/>
      <c r="H292" s="149"/>
      <c r="I292" s="149"/>
      <c r="J292" s="149"/>
      <c r="K292" s="149"/>
      <c r="L292" s="149"/>
      <c r="M292" s="149"/>
      <c r="N292" s="149"/>
      <c r="O292" s="149"/>
    </row>
    <row r="293" spans="3:15" s="9" customFormat="1">
      <c r="C293" s="149"/>
      <c r="D293" s="149"/>
      <c r="E293" s="149"/>
      <c r="F293" s="149"/>
      <c r="G293" s="149"/>
      <c r="H293" s="149"/>
      <c r="I293" s="149"/>
      <c r="J293" s="149"/>
      <c r="K293" s="149"/>
      <c r="L293" s="149"/>
      <c r="M293" s="149"/>
      <c r="N293" s="149"/>
      <c r="O293" s="149"/>
    </row>
    <row r="294" spans="3:15" s="9" customFormat="1">
      <c r="C294" s="149"/>
      <c r="D294" s="149"/>
      <c r="E294" s="149"/>
      <c r="F294" s="149"/>
      <c r="G294" s="149"/>
      <c r="H294" s="149"/>
      <c r="I294" s="149"/>
      <c r="J294" s="149"/>
      <c r="K294" s="149"/>
      <c r="L294" s="149"/>
      <c r="M294" s="149"/>
      <c r="N294" s="149"/>
      <c r="O294" s="149"/>
    </row>
    <row r="295" spans="3:15" s="9" customFormat="1">
      <c r="C295" s="149"/>
      <c r="D295" s="149"/>
      <c r="E295" s="149"/>
      <c r="F295" s="149"/>
      <c r="G295" s="149"/>
      <c r="H295" s="149"/>
      <c r="I295" s="149"/>
      <c r="J295" s="149"/>
      <c r="K295" s="149"/>
      <c r="L295" s="149"/>
      <c r="M295" s="149"/>
      <c r="N295" s="149"/>
      <c r="O295" s="149"/>
    </row>
    <row r="296" spans="3:15" s="9" customFormat="1">
      <c r="C296" s="149"/>
      <c r="D296" s="149"/>
      <c r="E296" s="149"/>
      <c r="F296" s="149"/>
      <c r="G296" s="149"/>
      <c r="H296" s="149"/>
      <c r="I296" s="149"/>
      <c r="J296" s="149"/>
      <c r="K296" s="149"/>
      <c r="L296" s="149"/>
      <c r="M296" s="149"/>
      <c r="N296" s="149"/>
      <c r="O296" s="149"/>
    </row>
    <row r="297" spans="3:15" s="9" customFormat="1">
      <c r="C297" s="149"/>
      <c r="D297" s="149"/>
      <c r="E297" s="149"/>
      <c r="F297" s="149"/>
      <c r="G297" s="149"/>
      <c r="H297" s="149"/>
      <c r="I297" s="149"/>
      <c r="J297" s="149"/>
      <c r="K297" s="149"/>
      <c r="L297" s="149"/>
      <c r="M297" s="149"/>
      <c r="N297" s="149"/>
      <c r="O297" s="149"/>
    </row>
    <row r="298" spans="3:15" s="9" customFormat="1">
      <c r="C298" s="149"/>
      <c r="D298" s="149"/>
      <c r="E298" s="149"/>
      <c r="F298" s="149"/>
      <c r="G298" s="149"/>
      <c r="H298" s="149"/>
      <c r="I298" s="149"/>
      <c r="J298" s="149"/>
      <c r="K298" s="149"/>
      <c r="L298" s="149"/>
      <c r="M298" s="149"/>
      <c r="N298" s="149"/>
      <c r="O298" s="149"/>
    </row>
    <row r="299" spans="3:15" s="9" customFormat="1">
      <c r="C299" s="149"/>
      <c r="D299" s="149"/>
      <c r="E299" s="149"/>
      <c r="F299" s="149"/>
      <c r="G299" s="149"/>
      <c r="H299" s="149"/>
      <c r="I299" s="149"/>
      <c r="J299" s="149"/>
      <c r="K299" s="149"/>
      <c r="L299" s="149"/>
      <c r="M299" s="149"/>
      <c r="N299" s="149"/>
      <c r="O299" s="149"/>
    </row>
    <row r="300" spans="3:15" s="9" customFormat="1">
      <c r="C300" s="149"/>
      <c r="D300" s="149"/>
      <c r="E300" s="149"/>
      <c r="F300" s="149"/>
      <c r="G300" s="149"/>
      <c r="H300" s="149"/>
      <c r="I300" s="149"/>
      <c r="J300" s="149"/>
      <c r="K300" s="149"/>
      <c r="L300" s="149"/>
      <c r="M300" s="149"/>
      <c r="N300" s="149"/>
      <c r="O300" s="149"/>
    </row>
    <row r="301" spans="3:15" s="9" customFormat="1">
      <c r="C301" s="149"/>
      <c r="D301" s="149"/>
      <c r="E301" s="149"/>
      <c r="F301" s="149"/>
      <c r="G301" s="149"/>
      <c r="H301" s="149"/>
      <c r="I301" s="149"/>
      <c r="J301" s="149"/>
      <c r="K301" s="149"/>
      <c r="L301" s="149"/>
      <c r="M301" s="149"/>
      <c r="N301" s="149"/>
      <c r="O301" s="149"/>
    </row>
    <row r="302" spans="3:15" s="9" customFormat="1">
      <c r="C302" s="149"/>
      <c r="D302" s="149"/>
      <c r="E302" s="149"/>
      <c r="F302" s="149"/>
      <c r="G302" s="149"/>
      <c r="H302" s="149"/>
      <c r="I302" s="149"/>
      <c r="J302" s="149"/>
      <c r="K302" s="149"/>
      <c r="L302" s="149"/>
      <c r="M302" s="149"/>
      <c r="N302" s="149"/>
      <c r="O302" s="149"/>
    </row>
    <row r="303" spans="3:15" s="9" customFormat="1">
      <c r="C303" s="149"/>
      <c r="D303" s="149"/>
      <c r="E303" s="149"/>
      <c r="F303" s="149"/>
      <c r="G303" s="149"/>
      <c r="H303" s="149"/>
      <c r="I303" s="149"/>
      <c r="J303" s="149"/>
      <c r="K303" s="149"/>
      <c r="L303" s="149"/>
      <c r="M303" s="149"/>
      <c r="N303" s="149"/>
      <c r="O303" s="149"/>
    </row>
    <row r="304" spans="3:15" s="9" customFormat="1">
      <c r="C304" s="149"/>
      <c r="D304" s="149"/>
      <c r="E304" s="149"/>
      <c r="F304" s="149"/>
      <c r="G304" s="149"/>
      <c r="H304" s="149"/>
      <c r="I304" s="149"/>
      <c r="J304" s="149"/>
      <c r="K304" s="149"/>
      <c r="L304" s="149"/>
      <c r="M304" s="149"/>
      <c r="N304" s="149"/>
      <c r="O304" s="149"/>
    </row>
    <row r="305" spans="3:15" s="9" customFormat="1">
      <c r="C305" s="149"/>
      <c r="D305" s="149"/>
      <c r="E305" s="149"/>
      <c r="F305" s="149"/>
      <c r="G305" s="149"/>
      <c r="H305" s="149"/>
      <c r="I305" s="149"/>
      <c r="J305" s="149"/>
      <c r="K305" s="149"/>
      <c r="L305" s="149"/>
      <c r="M305" s="149"/>
      <c r="N305" s="149"/>
      <c r="O305" s="149"/>
    </row>
    <row r="306" spans="3:15" s="9" customFormat="1">
      <c r="C306" s="149"/>
      <c r="D306" s="149"/>
      <c r="E306" s="149"/>
      <c r="F306" s="149"/>
      <c r="G306" s="149"/>
      <c r="H306" s="149"/>
      <c r="I306" s="149"/>
      <c r="J306" s="149"/>
      <c r="K306" s="149"/>
      <c r="L306" s="149"/>
      <c r="M306" s="149"/>
      <c r="N306" s="149"/>
      <c r="O306" s="149"/>
    </row>
    <row r="307" spans="3:15" s="9" customFormat="1">
      <c r="C307" s="149"/>
      <c r="D307" s="149"/>
      <c r="E307" s="149"/>
      <c r="F307" s="149"/>
      <c r="G307" s="149"/>
      <c r="H307" s="149"/>
      <c r="I307" s="149"/>
      <c r="J307" s="149"/>
      <c r="K307" s="149"/>
      <c r="L307" s="149"/>
      <c r="M307" s="149"/>
      <c r="N307" s="149"/>
      <c r="O307" s="149"/>
    </row>
    <row r="308" spans="3:15" s="9" customFormat="1">
      <c r="C308" s="149"/>
      <c r="D308" s="149"/>
      <c r="E308" s="149"/>
      <c r="F308" s="149"/>
      <c r="G308" s="149"/>
      <c r="H308" s="149"/>
      <c r="I308" s="149"/>
      <c r="J308" s="149"/>
      <c r="K308" s="149"/>
      <c r="L308" s="149"/>
      <c r="M308" s="149"/>
      <c r="N308" s="149"/>
      <c r="O308" s="149"/>
    </row>
    <row r="309" spans="3:15" s="9" customFormat="1">
      <c r="C309" s="149"/>
      <c r="D309" s="149"/>
      <c r="E309" s="149"/>
      <c r="F309" s="149"/>
      <c r="G309" s="149"/>
      <c r="H309" s="149"/>
      <c r="I309" s="149"/>
      <c r="J309" s="149"/>
      <c r="K309" s="149"/>
      <c r="L309" s="149"/>
      <c r="M309" s="149"/>
      <c r="N309" s="149"/>
      <c r="O309" s="149"/>
    </row>
    <row r="310" spans="3:15" s="9" customFormat="1">
      <c r="C310" s="149"/>
      <c r="D310" s="149"/>
      <c r="E310" s="149"/>
      <c r="F310" s="149"/>
      <c r="G310" s="149"/>
      <c r="H310" s="149"/>
      <c r="I310" s="149"/>
      <c r="J310" s="149"/>
      <c r="K310" s="149"/>
      <c r="L310" s="149"/>
      <c r="M310" s="149"/>
      <c r="N310" s="149"/>
      <c r="O310" s="149"/>
    </row>
    <row r="311" spans="3:15" s="9" customFormat="1">
      <c r="C311" s="149"/>
      <c r="D311" s="149"/>
      <c r="E311" s="149"/>
      <c r="F311" s="149"/>
      <c r="G311" s="149"/>
      <c r="H311" s="149"/>
      <c r="I311" s="149"/>
      <c r="J311" s="149"/>
      <c r="K311" s="149"/>
      <c r="L311" s="149"/>
      <c r="M311" s="149"/>
      <c r="N311" s="149"/>
      <c r="O311" s="149"/>
    </row>
    <row r="312" spans="3:15" s="9" customFormat="1">
      <c r="C312" s="149"/>
      <c r="D312" s="149"/>
      <c r="E312" s="149"/>
      <c r="F312" s="149"/>
      <c r="G312" s="149"/>
      <c r="H312" s="149"/>
      <c r="I312" s="149"/>
      <c r="J312" s="149"/>
      <c r="K312" s="149"/>
      <c r="L312" s="149"/>
      <c r="M312" s="149"/>
      <c r="N312" s="149"/>
      <c r="O312" s="149"/>
    </row>
    <row r="313" spans="3:15" s="9" customFormat="1">
      <c r="C313" s="149"/>
      <c r="D313" s="149"/>
      <c r="E313" s="149"/>
      <c r="F313" s="149"/>
      <c r="G313" s="149"/>
      <c r="H313" s="149"/>
      <c r="I313" s="149"/>
      <c r="J313" s="149"/>
      <c r="K313" s="149"/>
      <c r="L313" s="149"/>
      <c r="M313" s="149"/>
      <c r="N313" s="149"/>
      <c r="O313" s="149"/>
    </row>
    <row r="314" spans="3:15" s="9" customFormat="1">
      <c r="C314" s="149"/>
      <c r="D314" s="149"/>
      <c r="E314" s="149"/>
      <c r="F314" s="149"/>
      <c r="G314" s="149"/>
      <c r="H314" s="149"/>
      <c r="I314" s="149"/>
      <c r="J314" s="149"/>
      <c r="K314" s="149"/>
      <c r="L314" s="149"/>
      <c r="M314" s="149"/>
      <c r="N314" s="149"/>
      <c r="O314" s="149"/>
    </row>
    <row r="315" spans="3:15" s="9" customFormat="1">
      <c r="C315" s="149"/>
      <c r="D315" s="149"/>
      <c r="E315" s="149"/>
      <c r="F315" s="149"/>
      <c r="G315" s="149"/>
      <c r="H315" s="149"/>
      <c r="I315" s="149"/>
      <c r="J315" s="149"/>
      <c r="K315" s="149"/>
      <c r="L315" s="149"/>
      <c r="M315" s="149"/>
      <c r="N315" s="149"/>
      <c r="O315" s="149"/>
    </row>
    <row r="316" spans="3:15" s="9" customFormat="1">
      <c r="C316" s="149"/>
      <c r="D316" s="149"/>
      <c r="E316" s="149"/>
      <c r="F316" s="149"/>
      <c r="G316" s="149"/>
      <c r="H316" s="149"/>
      <c r="I316" s="149"/>
      <c r="J316" s="149"/>
      <c r="K316" s="149"/>
      <c r="L316" s="149"/>
      <c r="M316" s="149"/>
      <c r="N316" s="149"/>
      <c r="O316" s="149"/>
    </row>
    <row r="317" spans="3:15" s="9" customFormat="1">
      <c r="C317" s="149"/>
      <c r="D317" s="149"/>
      <c r="E317" s="149"/>
      <c r="F317" s="149"/>
      <c r="G317" s="149"/>
      <c r="H317" s="149"/>
      <c r="I317" s="149"/>
      <c r="J317" s="149"/>
      <c r="K317" s="149"/>
      <c r="L317" s="149"/>
      <c r="M317" s="149"/>
      <c r="N317" s="149"/>
      <c r="O317" s="149"/>
    </row>
    <row r="318" spans="3:15" s="9" customFormat="1">
      <c r="C318" s="149"/>
      <c r="D318" s="149"/>
      <c r="E318" s="149"/>
      <c r="F318" s="149"/>
      <c r="G318" s="149"/>
      <c r="H318" s="149"/>
      <c r="I318" s="149"/>
      <c r="J318" s="149"/>
      <c r="K318" s="149"/>
      <c r="L318" s="149"/>
      <c r="M318" s="149"/>
      <c r="N318" s="149"/>
      <c r="O318" s="149"/>
    </row>
    <row r="319" spans="3:15" s="9" customFormat="1">
      <c r="C319" s="149"/>
      <c r="D319" s="149"/>
      <c r="E319" s="149"/>
      <c r="F319" s="149"/>
      <c r="G319" s="149"/>
      <c r="H319" s="149"/>
      <c r="I319" s="149"/>
      <c r="J319" s="149"/>
      <c r="K319" s="149"/>
      <c r="L319" s="149"/>
      <c r="M319" s="149"/>
      <c r="N319" s="149"/>
      <c r="O319" s="149"/>
    </row>
    <row r="320" spans="3:15" s="9" customFormat="1">
      <c r="C320" s="149"/>
      <c r="D320" s="149"/>
      <c r="E320" s="149"/>
      <c r="F320" s="149"/>
      <c r="G320" s="149"/>
      <c r="H320" s="149"/>
      <c r="I320" s="149"/>
      <c r="J320" s="149"/>
      <c r="K320" s="149"/>
      <c r="L320" s="149"/>
      <c r="M320" s="149"/>
      <c r="N320" s="149"/>
      <c r="O320" s="149"/>
    </row>
    <row r="321" spans="3:15" s="9" customFormat="1">
      <c r="C321" s="149"/>
      <c r="D321" s="149"/>
      <c r="E321" s="149"/>
      <c r="F321" s="149"/>
      <c r="G321" s="149"/>
      <c r="H321" s="149"/>
      <c r="I321" s="149"/>
      <c r="J321" s="149"/>
      <c r="K321" s="149"/>
      <c r="L321" s="149"/>
      <c r="M321" s="149"/>
      <c r="N321" s="149"/>
      <c r="O321" s="149"/>
    </row>
    <row r="322" spans="3:15" s="9" customFormat="1">
      <c r="C322" s="149"/>
      <c r="D322" s="149"/>
      <c r="E322" s="149"/>
      <c r="F322" s="149"/>
      <c r="G322" s="149"/>
      <c r="H322" s="149"/>
      <c r="I322" s="149"/>
      <c r="J322" s="149"/>
      <c r="K322" s="149"/>
      <c r="L322" s="149"/>
      <c r="M322" s="149"/>
      <c r="N322" s="149"/>
      <c r="O322" s="149"/>
    </row>
    <row r="323" spans="3:15" s="9" customFormat="1">
      <c r="C323" s="149"/>
      <c r="D323" s="149"/>
      <c r="E323" s="149"/>
      <c r="F323" s="149"/>
      <c r="G323" s="149"/>
      <c r="H323" s="149"/>
      <c r="I323" s="149"/>
      <c r="J323" s="149"/>
      <c r="K323" s="149"/>
      <c r="L323" s="149"/>
      <c r="M323" s="149"/>
      <c r="N323" s="149"/>
      <c r="O323" s="149"/>
    </row>
    <row r="324" spans="3:15" s="9" customFormat="1">
      <c r="C324" s="149"/>
      <c r="D324" s="149"/>
      <c r="E324" s="149"/>
      <c r="F324" s="149"/>
      <c r="G324" s="149"/>
      <c r="H324" s="149"/>
      <c r="I324" s="149"/>
      <c r="J324" s="149"/>
      <c r="K324" s="149"/>
      <c r="L324" s="149"/>
      <c r="M324" s="149"/>
      <c r="N324" s="149"/>
      <c r="O324" s="149"/>
    </row>
    <row r="325" spans="3:15" s="9" customFormat="1">
      <c r="C325" s="149"/>
      <c r="D325" s="149"/>
      <c r="E325" s="149"/>
      <c r="F325" s="149"/>
      <c r="G325" s="149"/>
      <c r="H325" s="149"/>
      <c r="I325" s="149"/>
      <c r="J325" s="149"/>
      <c r="K325" s="149"/>
      <c r="L325" s="149"/>
      <c r="M325" s="149"/>
      <c r="N325" s="149"/>
      <c r="O325" s="149"/>
    </row>
    <row r="326" spans="3:15" s="9" customFormat="1">
      <c r="C326" s="149"/>
      <c r="D326" s="149"/>
      <c r="E326" s="149"/>
      <c r="F326" s="149"/>
      <c r="G326" s="149"/>
      <c r="H326" s="149"/>
      <c r="I326" s="149"/>
      <c r="J326" s="149"/>
      <c r="K326" s="149"/>
      <c r="L326" s="149"/>
      <c r="M326" s="149"/>
      <c r="N326" s="149"/>
      <c r="O326" s="149"/>
    </row>
    <row r="327" spans="3:15" s="9" customFormat="1">
      <c r="C327" s="149"/>
      <c r="D327" s="149"/>
      <c r="E327" s="149"/>
      <c r="F327" s="149"/>
      <c r="G327" s="149"/>
      <c r="H327" s="149"/>
      <c r="I327" s="149"/>
      <c r="J327" s="149"/>
      <c r="K327" s="149"/>
      <c r="L327" s="149"/>
      <c r="M327" s="149"/>
      <c r="N327" s="149"/>
      <c r="O327" s="149"/>
    </row>
    <row r="328" spans="3:15" s="9" customFormat="1">
      <c r="C328" s="149"/>
      <c r="D328" s="149"/>
      <c r="E328" s="149"/>
      <c r="F328" s="149"/>
      <c r="G328" s="149"/>
      <c r="H328" s="149"/>
      <c r="I328" s="149"/>
      <c r="J328" s="149"/>
      <c r="K328" s="149"/>
      <c r="L328" s="149"/>
      <c r="M328" s="149"/>
      <c r="N328" s="149"/>
      <c r="O328" s="149"/>
    </row>
    <row r="329" spans="3:15" s="9" customFormat="1">
      <c r="C329" s="149"/>
      <c r="D329" s="149"/>
      <c r="E329" s="149"/>
      <c r="F329" s="149"/>
      <c r="G329" s="149"/>
      <c r="H329" s="149"/>
      <c r="I329" s="149"/>
      <c r="J329" s="149"/>
      <c r="K329" s="149"/>
      <c r="L329" s="149"/>
      <c r="M329" s="149"/>
      <c r="N329" s="149"/>
      <c r="O329" s="149"/>
    </row>
    <row r="330" spans="3:15" s="9" customFormat="1">
      <c r="C330" s="149"/>
      <c r="D330" s="149"/>
      <c r="E330" s="149"/>
      <c r="F330" s="149"/>
      <c r="G330" s="149"/>
      <c r="H330" s="149"/>
      <c r="I330" s="149"/>
      <c r="J330" s="149"/>
      <c r="K330" s="149"/>
      <c r="L330" s="149"/>
      <c r="M330" s="149"/>
      <c r="N330" s="149"/>
      <c r="O330" s="149"/>
    </row>
    <row r="331" spans="3:15" s="9" customFormat="1">
      <c r="C331" s="149"/>
      <c r="D331" s="149"/>
      <c r="E331" s="149"/>
      <c r="F331" s="149"/>
      <c r="G331" s="149"/>
      <c r="H331" s="149"/>
      <c r="I331" s="149"/>
      <c r="J331" s="149"/>
      <c r="K331" s="149"/>
      <c r="L331" s="149"/>
      <c r="M331" s="149"/>
      <c r="N331" s="149"/>
      <c r="O331" s="149"/>
    </row>
    <row r="332" spans="3:15" s="9" customFormat="1">
      <c r="C332" s="149"/>
      <c r="D332" s="149"/>
      <c r="E332" s="149"/>
      <c r="F332" s="149"/>
      <c r="G332" s="149"/>
      <c r="H332" s="149"/>
      <c r="I332" s="149"/>
      <c r="J332" s="149"/>
      <c r="K332" s="149"/>
      <c r="L332" s="149"/>
      <c r="M332" s="149"/>
      <c r="N332" s="149"/>
      <c r="O332" s="149"/>
    </row>
    <row r="333" spans="3:15" s="9" customFormat="1">
      <c r="C333" s="149"/>
      <c r="D333" s="149"/>
      <c r="E333" s="149"/>
      <c r="F333" s="149"/>
      <c r="G333" s="149"/>
      <c r="H333" s="149"/>
      <c r="I333" s="149"/>
      <c r="J333" s="149"/>
      <c r="K333" s="149"/>
      <c r="L333" s="149"/>
      <c r="M333" s="149"/>
      <c r="N333" s="149"/>
      <c r="O333" s="149"/>
    </row>
    <row r="334" spans="3:15" s="9" customFormat="1">
      <c r="C334" s="149"/>
      <c r="D334" s="149"/>
      <c r="E334" s="149"/>
      <c r="F334" s="149"/>
      <c r="G334" s="149"/>
      <c r="H334" s="149"/>
      <c r="I334" s="149"/>
      <c r="J334" s="149"/>
      <c r="K334" s="149"/>
      <c r="L334" s="149"/>
      <c r="M334" s="149"/>
      <c r="N334" s="149"/>
      <c r="O334" s="149"/>
    </row>
    <row r="335" spans="3:15" s="9" customFormat="1">
      <c r="C335" s="149"/>
      <c r="D335" s="149"/>
      <c r="E335" s="149"/>
      <c r="F335" s="149"/>
      <c r="G335" s="149"/>
      <c r="H335" s="149"/>
      <c r="I335" s="149"/>
      <c r="J335" s="149"/>
      <c r="K335" s="149"/>
      <c r="L335" s="149"/>
      <c r="M335" s="149"/>
      <c r="N335" s="149"/>
      <c r="O335" s="149"/>
    </row>
    <row r="336" spans="3:15" s="9" customFormat="1">
      <c r="C336" s="149"/>
      <c r="D336" s="149"/>
      <c r="E336" s="149"/>
      <c r="F336" s="149"/>
      <c r="G336" s="149"/>
      <c r="H336" s="149"/>
      <c r="I336" s="149"/>
      <c r="J336" s="149"/>
      <c r="K336" s="149"/>
      <c r="L336" s="149"/>
      <c r="M336" s="149"/>
      <c r="N336" s="149"/>
      <c r="O336" s="149"/>
    </row>
    <row r="337" spans="3:15" s="9" customFormat="1">
      <c r="C337" s="149"/>
      <c r="D337" s="149"/>
      <c r="E337" s="149"/>
      <c r="F337" s="149"/>
      <c r="G337" s="149"/>
      <c r="H337" s="149"/>
      <c r="I337" s="149"/>
      <c r="J337" s="149"/>
      <c r="K337" s="149"/>
      <c r="L337" s="149"/>
      <c r="M337" s="149"/>
      <c r="N337" s="149"/>
      <c r="O337" s="149"/>
    </row>
    <row r="338" spans="3:15" s="9" customFormat="1">
      <c r="C338" s="149"/>
      <c r="D338" s="149"/>
      <c r="E338" s="149"/>
      <c r="F338" s="149"/>
      <c r="G338" s="149"/>
      <c r="H338" s="149"/>
      <c r="I338" s="149"/>
      <c r="J338" s="149"/>
      <c r="K338" s="149"/>
      <c r="L338" s="149"/>
      <c r="M338" s="149"/>
      <c r="N338" s="149"/>
      <c r="O338" s="149"/>
    </row>
    <row r="339" spans="3:15" s="9" customFormat="1">
      <c r="C339" s="149"/>
      <c r="D339" s="149"/>
      <c r="E339" s="149"/>
      <c r="F339" s="149"/>
      <c r="G339" s="149"/>
      <c r="H339" s="149"/>
      <c r="I339" s="149"/>
      <c r="J339" s="149"/>
      <c r="K339" s="149"/>
      <c r="L339" s="149"/>
      <c r="M339" s="149"/>
      <c r="N339" s="149"/>
      <c r="O339" s="149"/>
    </row>
    <row r="340" spans="3:15" s="9" customFormat="1">
      <c r="C340" s="149"/>
      <c r="D340" s="149"/>
      <c r="E340" s="149"/>
      <c r="F340" s="149"/>
      <c r="G340" s="149"/>
      <c r="H340" s="149"/>
      <c r="I340" s="149"/>
      <c r="J340" s="149"/>
      <c r="K340" s="149"/>
      <c r="L340" s="149"/>
      <c r="M340" s="149"/>
      <c r="N340" s="149"/>
      <c r="O340" s="149"/>
    </row>
    <row r="341" spans="3:15" s="9" customFormat="1">
      <c r="C341" s="149"/>
      <c r="D341" s="149"/>
      <c r="E341" s="149"/>
      <c r="F341" s="149"/>
      <c r="G341" s="149"/>
      <c r="H341" s="149"/>
      <c r="I341" s="149"/>
      <c r="J341" s="149"/>
      <c r="K341" s="149"/>
      <c r="L341" s="149"/>
      <c r="M341" s="149"/>
      <c r="N341" s="149"/>
      <c r="O341" s="149"/>
    </row>
    <row r="342" spans="3:15" s="9" customFormat="1">
      <c r="C342" s="149"/>
      <c r="D342" s="149"/>
      <c r="E342" s="149"/>
      <c r="F342" s="149"/>
      <c r="G342" s="149"/>
      <c r="H342" s="149"/>
      <c r="I342" s="149"/>
      <c r="J342" s="149"/>
      <c r="K342" s="149"/>
      <c r="L342" s="149"/>
      <c r="M342" s="149"/>
      <c r="N342" s="149"/>
      <c r="O342" s="149"/>
    </row>
    <row r="343" spans="3:15" s="9" customFormat="1">
      <c r="C343" s="149"/>
      <c r="D343" s="149"/>
      <c r="E343" s="149"/>
      <c r="F343" s="149"/>
      <c r="G343" s="149"/>
      <c r="H343" s="149"/>
      <c r="I343" s="149"/>
      <c r="J343" s="149"/>
      <c r="K343" s="149"/>
      <c r="L343" s="149"/>
      <c r="M343" s="149"/>
      <c r="N343" s="149"/>
      <c r="O343" s="149"/>
    </row>
    <row r="344" spans="3:15" s="9" customFormat="1">
      <c r="C344" s="149"/>
      <c r="D344" s="149"/>
      <c r="E344" s="149"/>
      <c r="F344" s="149"/>
      <c r="G344" s="149"/>
      <c r="H344" s="149"/>
      <c r="I344" s="149"/>
      <c r="J344" s="149"/>
      <c r="K344" s="149"/>
      <c r="L344" s="149"/>
      <c r="M344" s="149"/>
      <c r="N344" s="149"/>
      <c r="O344" s="149"/>
    </row>
    <row r="345" spans="3:15" s="9" customFormat="1">
      <c r="C345" s="149"/>
      <c r="D345" s="149"/>
      <c r="E345" s="149"/>
      <c r="F345" s="149"/>
      <c r="G345" s="149"/>
      <c r="H345" s="149"/>
      <c r="I345" s="149"/>
      <c r="J345" s="149"/>
      <c r="K345" s="149"/>
      <c r="L345" s="149"/>
      <c r="M345" s="149"/>
      <c r="N345" s="149"/>
      <c r="O345" s="149"/>
    </row>
    <row r="346" spans="3:15" s="9" customFormat="1">
      <c r="C346" s="149"/>
      <c r="D346" s="149"/>
      <c r="E346" s="149"/>
      <c r="F346" s="149"/>
      <c r="G346" s="149"/>
      <c r="H346" s="149"/>
      <c r="I346" s="149"/>
      <c r="J346" s="149"/>
      <c r="K346" s="149"/>
      <c r="L346" s="149"/>
      <c r="M346" s="149"/>
      <c r="N346" s="149"/>
      <c r="O346" s="149"/>
    </row>
    <row r="347" spans="3:15" s="9" customFormat="1">
      <c r="C347" s="149"/>
      <c r="D347" s="149"/>
      <c r="E347" s="149"/>
      <c r="F347" s="149"/>
      <c r="G347" s="149"/>
      <c r="H347" s="149"/>
      <c r="I347" s="149"/>
      <c r="J347" s="149"/>
      <c r="K347" s="149"/>
      <c r="L347" s="149"/>
      <c r="M347" s="149"/>
      <c r="N347" s="149"/>
      <c r="O347" s="149"/>
    </row>
    <row r="348" spans="3:15" s="9" customFormat="1">
      <c r="C348" s="149"/>
      <c r="D348" s="149"/>
      <c r="E348" s="149"/>
      <c r="F348" s="149"/>
      <c r="G348" s="149"/>
      <c r="H348" s="149"/>
      <c r="I348" s="149"/>
      <c r="J348" s="149"/>
      <c r="K348" s="149"/>
      <c r="L348" s="149"/>
      <c r="M348" s="149"/>
      <c r="N348" s="149"/>
      <c r="O348" s="149"/>
    </row>
    <row r="349" spans="3:15" s="9" customFormat="1">
      <c r="C349" s="149"/>
      <c r="D349" s="149"/>
      <c r="E349" s="149"/>
      <c r="F349" s="149"/>
      <c r="G349" s="149"/>
      <c r="H349" s="149"/>
      <c r="I349" s="149"/>
      <c r="J349" s="149"/>
      <c r="K349" s="149"/>
      <c r="L349" s="149"/>
      <c r="M349" s="149"/>
      <c r="N349" s="149"/>
      <c r="O349" s="149"/>
    </row>
    <row r="350" spans="3:15" s="9" customFormat="1">
      <c r="C350" s="149"/>
      <c r="D350" s="149"/>
      <c r="E350" s="149"/>
      <c r="F350" s="149"/>
      <c r="G350" s="149"/>
      <c r="H350" s="149"/>
      <c r="I350" s="149"/>
      <c r="J350" s="149"/>
      <c r="K350" s="149"/>
      <c r="L350" s="149"/>
      <c r="M350" s="149"/>
      <c r="N350" s="149"/>
      <c r="O350" s="149"/>
    </row>
    <row r="351" spans="3:15" s="9" customFormat="1">
      <c r="C351" s="149"/>
      <c r="D351" s="149"/>
      <c r="E351" s="149"/>
      <c r="F351" s="149"/>
      <c r="G351" s="149"/>
      <c r="H351" s="149"/>
      <c r="I351" s="149"/>
      <c r="J351" s="149"/>
      <c r="K351" s="149"/>
      <c r="L351" s="149"/>
      <c r="M351" s="149"/>
      <c r="N351" s="149"/>
      <c r="O351" s="149"/>
    </row>
    <row r="352" spans="3:15" s="9" customFormat="1">
      <c r="C352" s="149"/>
      <c r="D352" s="149"/>
      <c r="E352" s="149"/>
      <c r="F352" s="149"/>
      <c r="G352" s="149"/>
      <c r="H352" s="149"/>
      <c r="I352" s="149"/>
      <c r="J352" s="149"/>
      <c r="K352" s="149"/>
      <c r="L352" s="149"/>
      <c r="M352" s="149"/>
      <c r="N352" s="149"/>
      <c r="O352" s="149"/>
    </row>
    <row r="353" spans="3:15" s="9" customFormat="1">
      <c r="C353" s="149"/>
      <c r="D353" s="149"/>
      <c r="E353" s="149"/>
      <c r="F353" s="149"/>
      <c r="G353" s="149"/>
      <c r="H353" s="149"/>
      <c r="I353" s="149"/>
      <c r="J353" s="149"/>
      <c r="K353" s="149"/>
      <c r="L353" s="149"/>
      <c r="M353" s="149"/>
      <c r="N353" s="149"/>
      <c r="O353" s="149"/>
    </row>
    <row r="354" spans="3:15" s="9" customFormat="1">
      <c r="C354" s="149"/>
      <c r="D354" s="149"/>
      <c r="E354" s="149"/>
      <c r="F354" s="149"/>
      <c r="G354" s="149"/>
      <c r="H354" s="149"/>
      <c r="I354" s="149"/>
      <c r="J354" s="149"/>
      <c r="K354" s="149"/>
      <c r="L354" s="149"/>
      <c r="M354" s="149"/>
      <c r="N354" s="149"/>
      <c r="O354" s="149"/>
    </row>
    <row r="355" spans="3:15" s="9" customFormat="1">
      <c r="C355" s="149"/>
      <c r="D355" s="149"/>
      <c r="E355" s="149"/>
      <c r="F355" s="149"/>
      <c r="G355" s="149"/>
      <c r="H355" s="149"/>
      <c r="I355" s="149"/>
      <c r="J355" s="149"/>
      <c r="K355" s="149"/>
      <c r="L355" s="149"/>
      <c r="M355" s="149"/>
      <c r="N355" s="149"/>
      <c r="O355" s="149"/>
    </row>
    <row r="356" spans="3:15" s="9" customFormat="1">
      <c r="C356" s="149"/>
      <c r="D356" s="149"/>
      <c r="E356" s="149"/>
      <c r="F356" s="149"/>
      <c r="G356" s="149"/>
      <c r="H356" s="149"/>
      <c r="I356" s="149"/>
      <c r="J356" s="149"/>
      <c r="K356" s="149"/>
      <c r="L356" s="149"/>
      <c r="M356" s="149"/>
      <c r="N356" s="149"/>
      <c r="O356" s="149"/>
    </row>
    <row r="357" spans="3:15" s="9" customFormat="1">
      <c r="C357" s="149"/>
      <c r="D357" s="149"/>
      <c r="E357" s="149"/>
      <c r="F357" s="149"/>
      <c r="G357" s="149"/>
      <c r="H357" s="149"/>
      <c r="I357" s="149"/>
      <c r="J357" s="149"/>
      <c r="K357" s="149"/>
      <c r="L357" s="149"/>
      <c r="M357" s="149"/>
      <c r="N357" s="149"/>
      <c r="O357" s="149"/>
    </row>
    <row r="358" spans="3:15" s="9" customFormat="1">
      <c r="C358" s="149"/>
      <c r="D358" s="149"/>
      <c r="E358" s="149"/>
      <c r="F358" s="149"/>
      <c r="G358" s="149"/>
      <c r="H358" s="149"/>
      <c r="I358" s="149"/>
      <c r="J358" s="149"/>
      <c r="K358" s="149"/>
      <c r="L358" s="149"/>
      <c r="M358" s="149"/>
      <c r="N358" s="149"/>
      <c r="O358" s="149"/>
    </row>
    <row r="359" spans="3:15" s="9" customFormat="1">
      <c r="C359" s="149"/>
      <c r="D359" s="149"/>
      <c r="E359" s="149"/>
      <c r="F359" s="149"/>
      <c r="G359" s="149"/>
      <c r="H359" s="149"/>
      <c r="I359" s="149"/>
      <c r="J359" s="149"/>
      <c r="K359" s="149"/>
      <c r="L359" s="149"/>
      <c r="M359" s="149"/>
      <c r="N359" s="149"/>
      <c r="O359" s="149"/>
    </row>
    <row r="360" spans="3:15" s="9" customFormat="1">
      <c r="C360" s="149"/>
      <c r="D360" s="149"/>
      <c r="E360" s="149"/>
      <c r="F360" s="149"/>
      <c r="G360" s="149"/>
      <c r="H360" s="149"/>
      <c r="I360" s="149"/>
      <c r="J360" s="149"/>
      <c r="K360" s="149"/>
      <c r="L360" s="149"/>
      <c r="M360" s="149"/>
      <c r="N360" s="149"/>
      <c r="O360" s="149"/>
    </row>
    <row r="361" spans="3:15" s="9" customFormat="1">
      <c r="C361" s="149"/>
      <c r="D361" s="149"/>
      <c r="E361" s="149"/>
      <c r="F361" s="149"/>
      <c r="G361" s="149"/>
      <c r="H361" s="149"/>
      <c r="I361" s="149"/>
      <c r="J361" s="149"/>
      <c r="K361" s="149"/>
      <c r="L361" s="149"/>
      <c r="M361" s="149"/>
      <c r="N361" s="149"/>
      <c r="O361" s="149"/>
    </row>
    <row r="362" spans="3:15" s="9" customFormat="1">
      <c r="C362" s="149"/>
      <c r="D362" s="149"/>
      <c r="E362" s="149"/>
      <c r="F362" s="149"/>
      <c r="G362" s="149"/>
      <c r="H362" s="149"/>
      <c r="I362" s="149"/>
      <c r="J362" s="149"/>
      <c r="K362" s="149"/>
      <c r="L362" s="149"/>
      <c r="M362" s="149"/>
      <c r="N362" s="149"/>
      <c r="O362" s="149"/>
    </row>
    <row r="363" spans="3:15" s="9" customFormat="1">
      <c r="C363" s="149"/>
      <c r="D363" s="149"/>
      <c r="E363" s="149"/>
      <c r="F363" s="149"/>
      <c r="G363" s="149"/>
      <c r="H363" s="149"/>
      <c r="I363" s="149"/>
      <c r="J363" s="149"/>
      <c r="K363" s="149"/>
      <c r="L363" s="149"/>
      <c r="M363" s="149"/>
      <c r="N363" s="149"/>
      <c r="O363" s="149"/>
    </row>
    <row r="364" spans="3:15" s="9" customFormat="1">
      <c r="C364" s="149"/>
      <c r="D364" s="149"/>
      <c r="E364" s="149"/>
      <c r="F364" s="149"/>
      <c r="G364" s="149"/>
      <c r="H364" s="149"/>
      <c r="I364" s="149"/>
      <c r="J364" s="149"/>
      <c r="K364" s="149"/>
      <c r="L364" s="149"/>
      <c r="M364" s="149"/>
      <c r="N364" s="149"/>
      <c r="O364" s="149"/>
    </row>
    <row r="365" spans="3:15" s="9" customFormat="1">
      <c r="C365" s="149"/>
      <c r="D365" s="149"/>
      <c r="E365" s="149"/>
      <c r="F365" s="149"/>
      <c r="G365" s="149"/>
      <c r="H365" s="149"/>
      <c r="I365" s="149"/>
      <c r="J365" s="149"/>
      <c r="K365" s="149"/>
      <c r="L365" s="149"/>
      <c r="M365" s="149"/>
      <c r="N365" s="149"/>
      <c r="O365" s="149"/>
    </row>
    <row r="366" spans="3:15" s="9" customFormat="1">
      <c r="C366" s="149"/>
      <c r="D366" s="149"/>
      <c r="E366" s="149"/>
      <c r="F366" s="149"/>
      <c r="G366" s="149"/>
      <c r="H366" s="149"/>
      <c r="I366" s="149"/>
      <c r="J366" s="149"/>
      <c r="K366" s="149"/>
      <c r="L366" s="149"/>
      <c r="M366" s="149"/>
      <c r="N366" s="149"/>
      <c r="O366" s="149"/>
    </row>
    <row r="367" spans="3:15" s="9" customFormat="1">
      <c r="C367" s="149"/>
      <c r="D367" s="149"/>
      <c r="E367" s="149"/>
      <c r="F367" s="149"/>
      <c r="G367" s="149"/>
      <c r="H367" s="149"/>
      <c r="I367" s="149"/>
      <c r="J367" s="149"/>
      <c r="K367" s="149"/>
      <c r="L367" s="149"/>
      <c r="M367" s="149"/>
      <c r="N367" s="149"/>
      <c r="O367" s="149"/>
    </row>
    <row r="368" spans="3:15" s="9" customFormat="1">
      <c r="C368" s="149"/>
      <c r="D368" s="149"/>
      <c r="E368" s="149"/>
      <c r="F368" s="149"/>
      <c r="G368" s="149"/>
      <c r="H368" s="149"/>
      <c r="I368" s="149"/>
      <c r="J368" s="149"/>
      <c r="K368" s="149"/>
      <c r="L368" s="149"/>
      <c r="M368" s="149"/>
      <c r="N368" s="149"/>
      <c r="O368" s="149"/>
    </row>
    <row r="369" spans="3:15" s="9" customFormat="1">
      <c r="C369" s="149"/>
      <c r="D369" s="149"/>
      <c r="E369" s="149"/>
      <c r="F369" s="149"/>
      <c r="G369" s="149"/>
      <c r="H369" s="149"/>
      <c r="I369" s="149"/>
      <c r="J369" s="149"/>
      <c r="K369" s="149"/>
      <c r="L369" s="149"/>
      <c r="M369" s="149"/>
      <c r="N369" s="149"/>
      <c r="O369" s="149"/>
    </row>
    <row r="370" spans="3:15" s="9" customFormat="1">
      <c r="C370" s="149"/>
      <c r="D370" s="149"/>
      <c r="E370" s="149"/>
      <c r="F370" s="149"/>
      <c r="G370" s="149"/>
      <c r="H370" s="149"/>
      <c r="I370" s="149"/>
      <c r="J370" s="149"/>
      <c r="K370" s="149"/>
      <c r="L370" s="149"/>
      <c r="M370" s="149"/>
      <c r="N370" s="149"/>
      <c r="O370" s="149"/>
    </row>
    <row r="371" spans="3:15" s="9" customFormat="1">
      <c r="C371" s="149"/>
      <c r="D371" s="149"/>
      <c r="E371" s="149"/>
      <c r="F371" s="149"/>
      <c r="G371" s="149"/>
      <c r="H371" s="149"/>
      <c r="I371" s="149"/>
      <c r="J371" s="149"/>
      <c r="K371" s="149"/>
      <c r="L371" s="149"/>
      <c r="M371" s="149"/>
      <c r="N371" s="149"/>
      <c r="O371" s="149"/>
    </row>
    <row r="372" spans="3:15" s="9" customFormat="1">
      <c r="C372" s="149"/>
      <c r="D372" s="149"/>
      <c r="E372" s="149"/>
      <c r="F372" s="149"/>
      <c r="G372" s="149"/>
      <c r="H372" s="149"/>
      <c r="I372" s="149"/>
      <c r="J372" s="149"/>
      <c r="K372" s="149"/>
      <c r="L372" s="149"/>
      <c r="M372" s="149"/>
      <c r="N372" s="149"/>
      <c r="O372" s="149"/>
    </row>
    <row r="373" spans="3:15" s="9" customFormat="1">
      <c r="C373" s="149"/>
      <c r="D373" s="149"/>
      <c r="E373" s="149"/>
      <c r="F373" s="149"/>
      <c r="G373" s="149"/>
      <c r="H373" s="149"/>
      <c r="I373" s="149"/>
      <c r="J373" s="149"/>
      <c r="K373" s="149"/>
      <c r="L373" s="149"/>
      <c r="M373" s="149"/>
      <c r="N373" s="149"/>
      <c r="O373" s="149"/>
    </row>
    <row r="374" spans="3:15" s="9" customFormat="1">
      <c r="C374" s="149"/>
      <c r="D374" s="149"/>
      <c r="E374" s="149"/>
      <c r="F374" s="149"/>
      <c r="G374" s="149"/>
      <c r="H374" s="149"/>
      <c r="I374" s="149"/>
      <c r="J374" s="149"/>
      <c r="K374" s="149"/>
      <c r="L374" s="149"/>
      <c r="M374" s="149"/>
      <c r="N374" s="149"/>
      <c r="O374" s="149"/>
    </row>
    <row r="375" spans="3:15" s="9" customFormat="1">
      <c r="C375" s="149"/>
      <c r="D375" s="149"/>
      <c r="E375" s="149"/>
      <c r="F375" s="149"/>
      <c r="G375" s="149"/>
      <c r="H375" s="149"/>
      <c r="I375" s="149"/>
      <c r="J375" s="149"/>
      <c r="K375" s="149"/>
      <c r="L375" s="149"/>
      <c r="M375" s="149"/>
      <c r="N375" s="149"/>
      <c r="O375" s="149"/>
    </row>
    <row r="376" spans="3:15" s="9" customFormat="1">
      <c r="C376" s="149"/>
      <c r="D376" s="149"/>
      <c r="E376" s="149"/>
      <c r="F376" s="149"/>
      <c r="G376" s="149"/>
      <c r="H376" s="149"/>
      <c r="I376" s="149"/>
      <c r="J376" s="149"/>
      <c r="K376" s="149"/>
      <c r="L376" s="149"/>
      <c r="M376" s="149"/>
      <c r="N376" s="149"/>
      <c r="O376" s="149"/>
    </row>
    <row r="377" spans="3:15" s="9" customFormat="1">
      <c r="C377" s="149"/>
      <c r="D377" s="149"/>
      <c r="E377" s="149"/>
      <c r="F377" s="149"/>
      <c r="G377" s="149"/>
      <c r="H377" s="149"/>
      <c r="I377" s="149"/>
      <c r="J377" s="149"/>
      <c r="K377" s="149"/>
      <c r="L377" s="149"/>
      <c r="M377" s="149"/>
      <c r="N377" s="149"/>
      <c r="O377" s="149"/>
    </row>
    <row r="378" spans="3:15" s="9" customFormat="1">
      <c r="C378" s="149"/>
      <c r="D378" s="149"/>
      <c r="E378" s="149"/>
      <c r="F378" s="149"/>
      <c r="G378" s="149"/>
      <c r="H378" s="149"/>
      <c r="I378" s="149"/>
      <c r="J378" s="149"/>
      <c r="K378" s="149"/>
      <c r="L378" s="149"/>
      <c r="M378" s="149"/>
      <c r="N378" s="149"/>
      <c r="O378" s="149"/>
    </row>
    <row r="379" spans="3:15" s="9" customFormat="1">
      <c r="C379" s="149"/>
      <c r="D379" s="149"/>
      <c r="E379" s="149"/>
      <c r="F379" s="149"/>
      <c r="G379" s="149"/>
      <c r="H379" s="149"/>
      <c r="I379" s="149"/>
      <c r="J379" s="149"/>
      <c r="K379" s="149"/>
      <c r="L379" s="149"/>
      <c r="M379" s="149"/>
      <c r="N379" s="149"/>
      <c r="O379" s="149"/>
    </row>
    <row r="380" spans="3:15" s="9" customFormat="1">
      <c r="C380" s="149"/>
      <c r="D380" s="149"/>
      <c r="E380" s="149"/>
      <c r="F380" s="149"/>
      <c r="G380" s="149"/>
      <c r="H380" s="149"/>
      <c r="I380" s="149"/>
      <c r="J380" s="149"/>
      <c r="K380" s="149"/>
      <c r="L380" s="149"/>
      <c r="M380" s="149"/>
      <c r="N380" s="149"/>
      <c r="O380" s="149"/>
    </row>
    <row r="381" spans="3:15" s="9" customFormat="1">
      <c r="C381" s="149"/>
      <c r="D381" s="149"/>
      <c r="E381" s="149"/>
      <c r="F381" s="149"/>
      <c r="G381" s="149"/>
      <c r="H381" s="149"/>
      <c r="I381" s="149"/>
      <c r="J381" s="149"/>
      <c r="K381" s="149"/>
      <c r="L381" s="149"/>
      <c r="M381" s="149"/>
      <c r="N381" s="149"/>
      <c r="O381" s="149"/>
    </row>
    <row r="382" spans="3:15" s="9" customFormat="1">
      <c r="C382" s="149"/>
      <c r="D382" s="149"/>
      <c r="E382" s="149"/>
      <c r="F382" s="149"/>
      <c r="G382" s="149"/>
      <c r="H382" s="149"/>
      <c r="I382" s="149"/>
      <c r="J382" s="149"/>
      <c r="K382" s="149"/>
      <c r="L382" s="149"/>
      <c r="M382" s="149"/>
      <c r="N382" s="149"/>
      <c r="O382" s="149"/>
    </row>
    <row r="383" spans="3:15" s="9" customFormat="1">
      <c r="C383" s="149"/>
      <c r="D383" s="149"/>
      <c r="E383" s="149"/>
      <c r="F383" s="149"/>
      <c r="G383" s="149"/>
      <c r="H383" s="149"/>
      <c r="I383" s="149"/>
      <c r="J383" s="149"/>
      <c r="K383" s="149"/>
      <c r="L383" s="149"/>
      <c r="M383" s="149"/>
      <c r="N383" s="149"/>
      <c r="O383" s="149"/>
    </row>
    <row r="384" spans="3:15" s="9" customFormat="1">
      <c r="C384" s="149"/>
      <c r="D384" s="149"/>
      <c r="E384" s="149"/>
      <c r="F384" s="149"/>
      <c r="G384" s="149"/>
      <c r="H384" s="149"/>
      <c r="I384" s="149"/>
      <c r="J384" s="149"/>
      <c r="K384" s="149"/>
      <c r="L384" s="149"/>
      <c r="M384" s="149"/>
      <c r="N384" s="149"/>
      <c r="O384" s="149"/>
    </row>
    <row r="385" spans="3:15" s="9" customFormat="1">
      <c r="C385" s="149"/>
      <c r="D385" s="149"/>
      <c r="E385" s="149"/>
      <c r="F385" s="149"/>
      <c r="G385" s="149"/>
      <c r="H385" s="149"/>
      <c r="I385" s="149"/>
      <c r="J385" s="149"/>
      <c r="K385" s="149"/>
      <c r="L385" s="149"/>
      <c r="M385" s="149"/>
      <c r="N385" s="149"/>
      <c r="O385" s="149"/>
    </row>
    <row r="386" spans="3:15" s="9" customFormat="1">
      <c r="C386" s="149"/>
      <c r="D386" s="149"/>
      <c r="E386" s="149"/>
      <c r="F386" s="149"/>
      <c r="G386" s="149"/>
      <c r="H386" s="149"/>
      <c r="I386" s="149"/>
      <c r="J386" s="149"/>
      <c r="K386" s="149"/>
      <c r="L386" s="149"/>
      <c r="M386" s="149"/>
      <c r="N386" s="149"/>
      <c r="O386" s="149"/>
    </row>
    <row r="387" spans="3:15" s="9" customFormat="1">
      <c r="C387" s="149"/>
      <c r="D387" s="149"/>
      <c r="E387" s="149"/>
      <c r="F387" s="149"/>
      <c r="G387" s="149"/>
      <c r="H387" s="149"/>
      <c r="I387" s="149"/>
      <c r="J387" s="149"/>
      <c r="K387" s="149"/>
      <c r="L387" s="149"/>
      <c r="M387" s="149"/>
      <c r="N387" s="149"/>
      <c r="O387" s="149"/>
    </row>
    <row r="388" spans="3:15" s="9" customFormat="1">
      <c r="C388" s="149"/>
      <c r="D388" s="149"/>
      <c r="E388" s="149"/>
      <c r="F388" s="149"/>
      <c r="G388" s="149"/>
      <c r="H388" s="149"/>
      <c r="I388" s="149"/>
      <c r="J388" s="149"/>
      <c r="K388" s="149"/>
      <c r="L388" s="149"/>
      <c r="M388" s="149"/>
      <c r="N388" s="149"/>
      <c r="O388" s="149"/>
    </row>
    <row r="389" spans="3:15" s="9" customFormat="1">
      <c r="C389" s="149"/>
      <c r="D389" s="149"/>
      <c r="E389" s="149"/>
      <c r="F389" s="149"/>
      <c r="G389" s="149"/>
      <c r="H389" s="149"/>
      <c r="I389" s="149"/>
      <c r="J389" s="149"/>
      <c r="K389" s="149"/>
      <c r="L389" s="149"/>
      <c r="M389" s="149"/>
      <c r="N389" s="149"/>
      <c r="O389" s="149"/>
    </row>
    <row r="390" spans="3:15" s="9" customFormat="1">
      <c r="C390" s="149"/>
      <c r="D390" s="149"/>
      <c r="E390" s="149"/>
      <c r="F390" s="149"/>
      <c r="G390" s="149"/>
      <c r="H390" s="149"/>
      <c r="I390" s="149"/>
      <c r="J390" s="149"/>
      <c r="K390" s="149"/>
      <c r="L390" s="149"/>
      <c r="M390" s="149"/>
      <c r="N390" s="149"/>
      <c r="O390" s="149"/>
    </row>
    <row r="391" spans="3:15" s="9" customFormat="1">
      <c r="C391" s="149"/>
      <c r="D391" s="149"/>
      <c r="E391" s="149"/>
      <c r="F391" s="149"/>
      <c r="G391" s="149"/>
      <c r="H391" s="149"/>
      <c r="I391" s="149"/>
      <c r="J391" s="149"/>
      <c r="K391" s="149"/>
      <c r="L391" s="149"/>
      <c r="M391" s="149"/>
      <c r="N391" s="149"/>
      <c r="O391" s="149"/>
    </row>
    <row r="392" spans="3:15" s="9" customFormat="1">
      <c r="C392" s="149"/>
      <c r="D392" s="149"/>
      <c r="E392" s="149"/>
      <c r="F392" s="149"/>
      <c r="G392" s="149"/>
      <c r="H392" s="149"/>
      <c r="I392" s="149"/>
      <c r="J392" s="149"/>
      <c r="K392" s="149"/>
      <c r="L392" s="149"/>
      <c r="M392" s="149"/>
      <c r="N392" s="149"/>
      <c r="O392" s="149"/>
    </row>
    <row r="393" spans="3:15" s="9" customFormat="1">
      <c r="C393" s="149"/>
      <c r="D393" s="149"/>
      <c r="E393" s="149"/>
      <c r="F393" s="149"/>
      <c r="G393" s="149"/>
      <c r="H393" s="149"/>
      <c r="I393" s="149"/>
      <c r="J393" s="149"/>
      <c r="K393" s="149"/>
      <c r="L393" s="149"/>
      <c r="M393" s="149"/>
      <c r="N393" s="149"/>
      <c r="O393" s="149"/>
    </row>
    <row r="394" spans="3:15" s="9" customFormat="1">
      <c r="C394" s="149"/>
      <c r="D394" s="149"/>
      <c r="E394" s="149"/>
      <c r="F394" s="149"/>
      <c r="G394" s="149"/>
      <c r="H394" s="149"/>
      <c r="I394" s="149"/>
      <c r="J394" s="149"/>
      <c r="K394" s="149"/>
      <c r="L394" s="149"/>
      <c r="M394" s="149"/>
      <c r="N394" s="149"/>
      <c r="O394" s="149"/>
    </row>
    <row r="395" spans="3:15" s="9" customFormat="1">
      <c r="C395" s="149"/>
      <c r="D395" s="149"/>
      <c r="E395" s="149"/>
      <c r="F395" s="149"/>
      <c r="G395" s="149"/>
      <c r="H395" s="149"/>
      <c r="I395" s="149"/>
      <c r="J395" s="149"/>
      <c r="K395" s="149"/>
      <c r="L395" s="149"/>
      <c r="M395" s="149"/>
      <c r="N395" s="149"/>
      <c r="O395" s="149"/>
    </row>
    <row r="396" spans="3:15" s="9" customFormat="1">
      <c r="C396" s="149"/>
      <c r="D396" s="149"/>
      <c r="E396" s="149"/>
      <c r="F396" s="149"/>
      <c r="G396" s="149"/>
      <c r="H396" s="149"/>
      <c r="I396" s="149"/>
      <c r="J396" s="149"/>
      <c r="K396" s="149"/>
      <c r="L396" s="149"/>
      <c r="M396" s="149"/>
      <c r="N396" s="149"/>
      <c r="O396" s="149"/>
    </row>
    <row r="397" spans="3:15" s="9" customFormat="1">
      <c r="C397" s="149"/>
      <c r="D397" s="149"/>
      <c r="E397" s="149"/>
      <c r="F397" s="149"/>
      <c r="G397" s="149"/>
      <c r="H397" s="149"/>
      <c r="I397" s="149"/>
      <c r="J397" s="149"/>
      <c r="K397" s="149"/>
      <c r="L397" s="149"/>
      <c r="M397" s="149"/>
      <c r="N397" s="149"/>
      <c r="O397" s="149"/>
    </row>
    <row r="398" spans="3:15" s="9" customFormat="1">
      <c r="C398" s="149"/>
      <c r="D398" s="149"/>
      <c r="E398" s="149"/>
      <c r="F398" s="149"/>
      <c r="G398" s="149"/>
      <c r="H398" s="149"/>
      <c r="I398" s="149"/>
      <c r="J398" s="149"/>
      <c r="K398" s="149"/>
      <c r="L398" s="149"/>
      <c r="M398" s="149"/>
      <c r="N398" s="149"/>
      <c r="O398" s="149"/>
    </row>
    <row r="399" spans="3:15" s="9" customFormat="1">
      <c r="C399" s="149"/>
      <c r="D399" s="149"/>
      <c r="E399" s="149"/>
      <c r="F399" s="149"/>
      <c r="G399" s="149"/>
      <c r="H399" s="149"/>
      <c r="I399" s="149"/>
      <c r="J399" s="149"/>
      <c r="K399" s="149"/>
      <c r="L399" s="149"/>
      <c r="M399" s="149"/>
      <c r="N399" s="149"/>
      <c r="O399" s="149"/>
    </row>
    <row r="400" spans="3:15" s="9" customFormat="1">
      <c r="C400" s="149"/>
      <c r="D400" s="149"/>
      <c r="E400" s="149"/>
      <c r="F400" s="149"/>
      <c r="G400" s="149"/>
      <c r="H400" s="149"/>
      <c r="I400" s="149"/>
      <c r="J400" s="149"/>
      <c r="K400" s="149"/>
      <c r="L400" s="149"/>
      <c r="M400" s="149"/>
      <c r="N400" s="149"/>
      <c r="O400" s="149"/>
    </row>
    <row r="401" spans="3:15" s="9" customFormat="1">
      <c r="C401" s="149"/>
      <c r="D401" s="149"/>
      <c r="E401" s="149"/>
      <c r="F401" s="149"/>
      <c r="G401" s="149"/>
      <c r="H401" s="149"/>
      <c r="I401" s="149"/>
      <c r="J401" s="149"/>
      <c r="K401" s="149"/>
      <c r="L401" s="149"/>
      <c r="M401" s="149"/>
      <c r="N401" s="149"/>
      <c r="O401" s="149"/>
    </row>
    <row r="402" spans="3:15" s="9" customFormat="1">
      <c r="C402" s="149"/>
      <c r="D402" s="149"/>
      <c r="E402" s="149"/>
      <c r="F402" s="149"/>
      <c r="G402" s="149"/>
      <c r="H402" s="149"/>
      <c r="I402" s="149"/>
      <c r="J402" s="149"/>
      <c r="K402" s="149"/>
      <c r="L402" s="149"/>
      <c r="M402" s="149"/>
      <c r="N402" s="149"/>
      <c r="O402" s="149"/>
    </row>
    <row r="403" spans="3:15" s="9" customFormat="1">
      <c r="C403" s="149"/>
      <c r="D403" s="149"/>
      <c r="E403" s="149"/>
      <c r="F403" s="149"/>
      <c r="G403" s="149"/>
      <c r="H403" s="149"/>
      <c r="I403" s="149"/>
      <c r="J403" s="149"/>
      <c r="K403" s="149"/>
      <c r="L403" s="149"/>
      <c r="M403" s="149"/>
      <c r="N403" s="149"/>
      <c r="O403" s="149"/>
    </row>
    <row r="404" spans="3:15" s="9" customFormat="1">
      <c r="C404" s="149"/>
      <c r="D404" s="149"/>
      <c r="E404" s="149"/>
      <c r="F404" s="149"/>
      <c r="G404" s="149"/>
      <c r="H404" s="149"/>
      <c r="I404" s="149"/>
      <c r="J404" s="149"/>
      <c r="K404" s="149"/>
      <c r="L404" s="149"/>
      <c r="M404" s="149"/>
      <c r="N404" s="149"/>
      <c r="O404" s="149"/>
    </row>
    <row r="405" spans="3:15" s="9" customFormat="1">
      <c r="C405" s="149"/>
      <c r="D405" s="149"/>
      <c r="E405" s="149"/>
      <c r="F405" s="149"/>
      <c r="G405" s="149"/>
      <c r="H405" s="149"/>
      <c r="I405" s="149"/>
      <c r="J405" s="149"/>
      <c r="K405" s="149"/>
      <c r="L405" s="149"/>
      <c r="M405" s="149"/>
      <c r="N405" s="149"/>
      <c r="O405" s="149"/>
    </row>
    <row r="406" spans="3:15" s="9" customFormat="1">
      <c r="C406" s="149"/>
      <c r="D406" s="149"/>
      <c r="E406" s="149"/>
      <c r="F406" s="149"/>
      <c r="G406" s="149"/>
      <c r="H406" s="149"/>
      <c r="I406" s="149"/>
      <c r="J406" s="149"/>
      <c r="K406" s="149"/>
      <c r="L406" s="149"/>
      <c r="M406" s="149"/>
      <c r="N406" s="149"/>
      <c r="O406" s="149"/>
    </row>
    <row r="407" spans="3:15" s="9" customFormat="1">
      <c r="C407" s="149"/>
      <c r="D407" s="149"/>
      <c r="E407" s="149"/>
      <c r="F407" s="149"/>
      <c r="G407" s="149"/>
      <c r="H407" s="149"/>
      <c r="I407" s="149"/>
      <c r="J407" s="149"/>
      <c r="K407" s="149"/>
      <c r="L407" s="149"/>
      <c r="M407" s="149"/>
      <c r="N407" s="149"/>
      <c r="O407" s="149"/>
    </row>
    <row r="408" spans="3:15" s="9" customFormat="1">
      <c r="C408" s="149"/>
      <c r="D408" s="149"/>
      <c r="E408" s="149"/>
      <c r="F408" s="149"/>
      <c r="G408" s="149"/>
      <c r="H408" s="149"/>
      <c r="I408" s="149"/>
      <c r="J408" s="149"/>
      <c r="K408" s="149"/>
      <c r="L408" s="149"/>
      <c r="M408" s="149"/>
      <c r="N408" s="149"/>
      <c r="O408" s="149"/>
    </row>
    <row r="409" spans="3:15" s="9" customFormat="1">
      <c r="C409" s="149"/>
      <c r="D409" s="149"/>
      <c r="E409" s="149"/>
      <c r="F409" s="149"/>
      <c r="G409" s="149"/>
      <c r="H409" s="149"/>
      <c r="I409" s="149"/>
      <c r="J409" s="149"/>
      <c r="K409" s="149"/>
      <c r="L409" s="149"/>
      <c r="M409" s="149"/>
      <c r="N409" s="149"/>
      <c r="O409" s="149"/>
    </row>
    <row r="410" spans="3:15" s="9" customFormat="1">
      <c r="C410" s="149"/>
      <c r="D410" s="149"/>
      <c r="E410" s="149"/>
      <c r="F410" s="149"/>
      <c r="G410" s="149"/>
      <c r="H410" s="149"/>
      <c r="I410" s="149"/>
      <c r="J410" s="149"/>
      <c r="K410" s="149"/>
      <c r="L410" s="149"/>
      <c r="M410" s="149"/>
      <c r="N410" s="149"/>
      <c r="O410" s="149"/>
    </row>
    <row r="411" spans="3:15" s="9" customFormat="1">
      <c r="C411" s="149"/>
      <c r="D411" s="149"/>
      <c r="E411" s="149"/>
      <c r="F411" s="149"/>
      <c r="G411" s="149"/>
      <c r="H411" s="149"/>
      <c r="I411" s="149"/>
      <c r="J411" s="149"/>
      <c r="K411" s="149"/>
      <c r="L411" s="149"/>
      <c r="M411" s="149"/>
      <c r="N411" s="149"/>
      <c r="O411" s="149"/>
    </row>
    <row r="412" spans="3:15" s="9" customFormat="1">
      <c r="C412" s="149"/>
      <c r="D412" s="149"/>
      <c r="E412" s="149"/>
      <c r="F412" s="149"/>
      <c r="G412" s="149"/>
      <c r="H412" s="149"/>
      <c r="I412" s="149"/>
      <c r="J412" s="149"/>
      <c r="K412" s="149"/>
      <c r="L412" s="149"/>
      <c r="M412" s="149"/>
      <c r="N412" s="149"/>
      <c r="O412" s="149"/>
    </row>
    <row r="413" spans="3:15" s="9" customFormat="1">
      <c r="C413" s="149"/>
      <c r="D413" s="149"/>
      <c r="E413" s="149"/>
      <c r="F413" s="149"/>
      <c r="G413" s="149"/>
      <c r="H413" s="149"/>
      <c r="I413" s="149"/>
      <c r="J413" s="149"/>
      <c r="K413" s="149"/>
      <c r="L413" s="149"/>
      <c r="M413" s="149"/>
      <c r="N413" s="149"/>
      <c r="O413" s="149"/>
    </row>
    <row r="414" spans="3:15" s="9" customFormat="1">
      <c r="C414" s="149"/>
      <c r="D414" s="149"/>
      <c r="E414" s="149"/>
      <c r="F414" s="149"/>
      <c r="G414" s="149"/>
      <c r="H414" s="149"/>
      <c r="I414" s="149"/>
      <c r="J414" s="149"/>
      <c r="K414" s="149"/>
      <c r="L414" s="149"/>
      <c r="M414" s="149"/>
      <c r="N414" s="149"/>
      <c r="O414" s="149"/>
    </row>
    <row r="415" spans="3:15" s="9" customFormat="1">
      <c r="C415" s="149"/>
      <c r="D415" s="149"/>
      <c r="E415" s="149"/>
      <c r="F415" s="149"/>
      <c r="G415" s="149"/>
      <c r="H415" s="149"/>
      <c r="I415" s="149"/>
      <c r="J415" s="149"/>
      <c r="K415" s="149"/>
      <c r="L415" s="149"/>
      <c r="M415" s="149"/>
      <c r="N415" s="149"/>
      <c r="O415" s="149"/>
    </row>
    <row r="416" spans="3:15" s="9" customFormat="1">
      <c r="C416" s="149"/>
      <c r="D416" s="149"/>
      <c r="E416" s="149"/>
      <c r="F416" s="149"/>
      <c r="G416" s="149"/>
      <c r="H416" s="149"/>
      <c r="I416" s="149"/>
      <c r="J416" s="149"/>
      <c r="K416" s="149"/>
      <c r="L416" s="149"/>
      <c r="M416" s="149"/>
      <c r="N416" s="149"/>
      <c r="O416" s="149"/>
    </row>
    <row r="417" spans="3:15" s="9" customFormat="1">
      <c r="C417" s="149"/>
      <c r="D417" s="149"/>
      <c r="E417" s="149"/>
      <c r="F417" s="149"/>
      <c r="G417" s="149"/>
      <c r="H417" s="149"/>
      <c r="I417" s="149"/>
      <c r="J417" s="149"/>
      <c r="K417" s="149"/>
      <c r="L417" s="149"/>
      <c r="M417" s="149"/>
      <c r="N417" s="149"/>
      <c r="O417" s="149"/>
    </row>
    <row r="418" spans="3:15" s="9" customFormat="1">
      <c r="C418" s="149"/>
      <c r="D418" s="149"/>
      <c r="E418" s="149"/>
      <c r="F418" s="149"/>
      <c r="G418" s="149"/>
      <c r="H418" s="149"/>
      <c r="I418" s="149"/>
      <c r="J418" s="149"/>
      <c r="K418" s="149"/>
      <c r="L418" s="149"/>
      <c r="M418" s="149"/>
      <c r="N418" s="149"/>
      <c r="O418" s="149"/>
    </row>
    <row r="419" spans="3:15" s="9" customFormat="1">
      <c r="C419" s="149"/>
      <c r="D419" s="149"/>
      <c r="E419" s="149"/>
      <c r="F419" s="149"/>
      <c r="G419" s="149"/>
      <c r="H419" s="149"/>
      <c r="I419" s="149"/>
      <c r="J419" s="149"/>
      <c r="K419" s="149"/>
      <c r="L419" s="149"/>
      <c r="M419" s="149"/>
      <c r="N419" s="149"/>
      <c r="O419" s="149"/>
    </row>
    <row r="420" spans="3:15" s="9" customFormat="1">
      <c r="C420" s="149"/>
      <c r="D420" s="149"/>
      <c r="E420" s="149"/>
      <c r="F420" s="149"/>
      <c r="G420" s="149"/>
      <c r="H420" s="149"/>
      <c r="I420" s="149"/>
      <c r="J420" s="149"/>
      <c r="K420" s="149"/>
      <c r="L420" s="149"/>
      <c r="M420" s="149"/>
      <c r="N420" s="149"/>
      <c r="O420" s="149"/>
    </row>
    <row r="421" spans="3:15" s="9" customFormat="1">
      <c r="C421" s="149"/>
      <c r="D421" s="149"/>
      <c r="E421" s="149"/>
      <c r="F421" s="149"/>
      <c r="G421" s="149"/>
      <c r="H421" s="149"/>
      <c r="I421" s="149"/>
      <c r="J421" s="149"/>
      <c r="K421" s="149"/>
      <c r="L421" s="149"/>
      <c r="M421" s="149"/>
      <c r="N421" s="149"/>
      <c r="O421" s="149"/>
    </row>
    <row r="422" spans="3:15" s="9" customFormat="1">
      <c r="C422" s="149"/>
      <c r="D422" s="149"/>
      <c r="E422" s="149"/>
      <c r="F422" s="149"/>
      <c r="G422" s="149"/>
      <c r="H422" s="149"/>
      <c r="I422" s="149"/>
      <c r="J422" s="149"/>
      <c r="K422" s="149"/>
      <c r="L422" s="149"/>
      <c r="M422" s="149"/>
      <c r="N422" s="149"/>
      <c r="O422" s="149"/>
    </row>
    <row r="423" spans="3:15" s="9" customFormat="1">
      <c r="C423" s="149"/>
      <c r="D423" s="149"/>
      <c r="E423" s="149"/>
      <c r="F423" s="149"/>
      <c r="G423" s="149"/>
      <c r="H423" s="149"/>
      <c r="I423" s="149"/>
      <c r="J423" s="149"/>
      <c r="K423" s="149"/>
      <c r="L423" s="149"/>
      <c r="M423" s="149"/>
      <c r="N423" s="149"/>
      <c r="O423" s="149"/>
    </row>
    <row r="424" spans="3:15" s="9" customFormat="1">
      <c r="C424" s="149"/>
      <c r="D424" s="149"/>
      <c r="E424" s="149"/>
      <c r="F424" s="149"/>
      <c r="G424" s="149"/>
      <c r="H424" s="149"/>
      <c r="I424" s="149"/>
      <c r="J424" s="149"/>
      <c r="K424" s="149"/>
      <c r="L424" s="149"/>
      <c r="M424" s="149"/>
      <c r="N424" s="149"/>
      <c r="O424" s="149"/>
    </row>
    <row r="425" spans="3:15" s="9" customFormat="1">
      <c r="C425" s="149"/>
      <c r="D425" s="149"/>
      <c r="E425" s="149"/>
      <c r="F425" s="149"/>
      <c r="G425" s="149"/>
      <c r="H425" s="149"/>
      <c r="I425" s="149"/>
      <c r="J425" s="149"/>
      <c r="K425" s="149"/>
      <c r="L425" s="149"/>
      <c r="M425" s="149"/>
      <c r="N425" s="149"/>
      <c r="O425" s="149"/>
    </row>
    <row r="426" spans="3:15" s="9" customFormat="1">
      <c r="C426" s="149"/>
      <c r="D426" s="149"/>
      <c r="E426" s="149"/>
      <c r="F426" s="149"/>
      <c r="G426" s="149"/>
      <c r="H426" s="149"/>
      <c r="I426" s="149"/>
      <c r="J426" s="149"/>
      <c r="K426" s="149"/>
      <c r="L426" s="149"/>
      <c r="M426" s="149"/>
      <c r="N426" s="149"/>
      <c r="O426" s="149"/>
    </row>
    <row r="427" spans="3:15" s="9" customFormat="1">
      <c r="C427" s="149"/>
      <c r="D427" s="149"/>
      <c r="E427" s="149"/>
      <c r="F427" s="149"/>
      <c r="G427" s="149"/>
      <c r="H427" s="149"/>
      <c r="I427" s="149"/>
      <c r="J427" s="149"/>
      <c r="K427" s="149"/>
      <c r="L427" s="149"/>
      <c r="M427" s="149"/>
      <c r="N427" s="149"/>
      <c r="O427" s="149"/>
    </row>
    <row r="428" spans="3:15" s="9" customFormat="1">
      <c r="C428" s="149"/>
      <c r="D428" s="149"/>
      <c r="E428" s="149"/>
      <c r="F428" s="149"/>
      <c r="G428" s="149"/>
      <c r="H428" s="149"/>
      <c r="I428" s="149"/>
      <c r="J428" s="149"/>
      <c r="K428" s="149"/>
      <c r="L428" s="149"/>
      <c r="M428" s="149"/>
      <c r="N428" s="149"/>
      <c r="O428" s="149"/>
    </row>
    <row r="429" spans="3:15" s="9" customFormat="1">
      <c r="C429" s="149"/>
      <c r="D429" s="149"/>
      <c r="E429" s="149"/>
      <c r="F429" s="149"/>
      <c r="G429" s="149"/>
      <c r="H429" s="149"/>
      <c r="I429" s="149"/>
      <c r="J429" s="149"/>
      <c r="K429" s="149"/>
      <c r="L429" s="149"/>
      <c r="M429" s="149"/>
      <c r="N429" s="149"/>
      <c r="O429" s="149"/>
    </row>
    <row r="430" spans="3:15" s="9" customFormat="1">
      <c r="C430" s="149"/>
      <c r="D430" s="149"/>
      <c r="E430" s="149"/>
      <c r="F430" s="149"/>
      <c r="G430" s="149"/>
      <c r="H430" s="149"/>
      <c r="I430" s="149"/>
      <c r="J430" s="149"/>
      <c r="K430" s="149"/>
      <c r="L430" s="149"/>
      <c r="M430" s="149"/>
      <c r="N430" s="149"/>
      <c r="O430" s="149"/>
    </row>
    <row r="431" spans="3:15" s="9" customFormat="1">
      <c r="C431" s="149"/>
      <c r="D431" s="149"/>
      <c r="E431" s="149"/>
      <c r="F431" s="149"/>
      <c r="G431" s="149"/>
      <c r="H431" s="149"/>
      <c r="I431" s="149"/>
      <c r="J431" s="149"/>
      <c r="K431" s="149"/>
      <c r="L431" s="149"/>
      <c r="M431" s="149"/>
      <c r="N431" s="149"/>
      <c r="O431" s="149"/>
    </row>
    <row r="432" spans="3:15" s="9" customFormat="1">
      <c r="C432" s="149"/>
      <c r="D432" s="149"/>
      <c r="E432" s="149"/>
      <c r="F432" s="149"/>
      <c r="G432" s="149"/>
      <c r="H432" s="149"/>
      <c r="I432" s="149"/>
      <c r="J432" s="149"/>
      <c r="K432" s="149"/>
      <c r="L432" s="149"/>
      <c r="M432" s="149"/>
      <c r="N432" s="149"/>
      <c r="O432" s="149"/>
    </row>
    <row r="433" spans="3:15" s="9" customFormat="1">
      <c r="C433" s="149"/>
      <c r="D433" s="149"/>
      <c r="E433" s="149"/>
      <c r="F433" s="149"/>
      <c r="G433" s="149"/>
      <c r="H433" s="149"/>
      <c r="I433" s="149"/>
      <c r="J433" s="149"/>
      <c r="K433" s="149"/>
      <c r="L433" s="149"/>
      <c r="M433" s="149"/>
      <c r="N433" s="149"/>
      <c r="O433" s="149"/>
    </row>
    <row r="434" spans="3:15" s="9" customFormat="1">
      <c r="C434" s="149"/>
      <c r="D434" s="149"/>
      <c r="E434" s="149"/>
      <c r="F434" s="149"/>
      <c r="G434" s="149"/>
      <c r="H434" s="149"/>
      <c r="I434" s="149"/>
      <c r="J434" s="149"/>
      <c r="K434" s="149"/>
      <c r="L434" s="149"/>
      <c r="M434" s="149"/>
      <c r="N434" s="149"/>
      <c r="O434" s="149"/>
    </row>
    <row r="435" spans="3:15" s="9" customFormat="1">
      <c r="C435" s="149"/>
      <c r="D435" s="149"/>
      <c r="E435" s="149"/>
      <c r="F435" s="149"/>
      <c r="G435" s="149"/>
      <c r="H435" s="149"/>
      <c r="I435" s="149"/>
      <c r="J435" s="149"/>
      <c r="K435" s="149"/>
      <c r="L435" s="149"/>
      <c r="M435" s="149"/>
      <c r="N435" s="149"/>
      <c r="O435" s="149"/>
    </row>
    <row r="436" spans="3:15" s="9" customFormat="1">
      <c r="C436" s="149"/>
      <c r="D436" s="149"/>
      <c r="E436" s="149"/>
      <c r="F436" s="149"/>
      <c r="G436" s="149"/>
      <c r="H436" s="149"/>
      <c r="I436" s="149"/>
      <c r="J436" s="149"/>
      <c r="K436" s="149"/>
      <c r="L436" s="149"/>
      <c r="M436" s="149"/>
      <c r="N436" s="149"/>
      <c r="O436" s="149"/>
    </row>
    <row r="437" spans="3:15" s="9" customFormat="1">
      <c r="C437" s="149"/>
      <c r="D437" s="149"/>
      <c r="E437" s="149"/>
      <c r="F437" s="149"/>
      <c r="G437" s="149"/>
      <c r="H437" s="149"/>
      <c r="I437" s="149"/>
      <c r="J437" s="149"/>
      <c r="K437" s="149"/>
      <c r="L437" s="149"/>
      <c r="M437" s="149"/>
      <c r="N437" s="149"/>
      <c r="O437" s="149"/>
    </row>
    <row r="438" spans="3:15" s="9" customFormat="1">
      <c r="C438" s="149"/>
      <c r="D438" s="149"/>
      <c r="E438" s="149"/>
      <c r="F438" s="149"/>
      <c r="G438" s="149"/>
      <c r="H438" s="149"/>
      <c r="I438" s="149"/>
      <c r="J438" s="149"/>
      <c r="K438" s="149"/>
      <c r="L438" s="149"/>
      <c r="M438" s="149"/>
      <c r="N438" s="149"/>
      <c r="O438" s="149"/>
    </row>
    <row r="439" spans="3:15" s="9" customFormat="1">
      <c r="C439" s="149"/>
      <c r="D439" s="149"/>
      <c r="E439" s="149"/>
      <c r="F439" s="149"/>
      <c r="G439" s="149"/>
      <c r="H439" s="149"/>
      <c r="I439" s="149"/>
      <c r="J439" s="149"/>
      <c r="K439" s="149"/>
      <c r="L439" s="149"/>
      <c r="M439" s="149"/>
      <c r="N439" s="149"/>
      <c r="O439" s="149"/>
    </row>
    <row r="440" spans="3:15" s="9" customFormat="1">
      <c r="C440" s="149"/>
      <c r="D440" s="149"/>
      <c r="E440" s="149"/>
      <c r="F440" s="149"/>
      <c r="G440" s="149"/>
      <c r="H440" s="149"/>
      <c r="I440" s="149"/>
      <c r="J440" s="149"/>
      <c r="K440" s="149"/>
      <c r="L440" s="149"/>
      <c r="M440" s="149"/>
      <c r="N440" s="149"/>
      <c r="O440" s="149"/>
    </row>
    <row r="441" spans="3:15" s="9" customFormat="1">
      <c r="C441" s="149"/>
      <c r="D441" s="149"/>
      <c r="E441" s="149"/>
      <c r="F441" s="149"/>
      <c r="G441" s="149"/>
      <c r="H441" s="149"/>
      <c r="I441" s="149"/>
      <c r="J441" s="149"/>
      <c r="K441" s="149"/>
      <c r="L441" s="149"/>
      <c r="M441" s="149"/>
      <c r="N441" s="149"/>
      <c r="O441" s="149"/>
    </row>
    <row r="442" spans="3:15" s="9" customFormat="1">
      <c r="C442" s="149"/>
      <c r="D442" s="149"/>
      <c r="E442" s="149"/>
      <c r="F442" s="149"/>
      <c r="G442" s="149"/>
      <c r="H442" s="149"/>
      <c r="I442" s="149"/>
      <c r="J442" s="149"/>
      <c r="K442" s="149"/>
      <c r="L442" s="149"/>
      <c r="M442" s="149"/>
      <c r="N442" s="149"/>
      <c r="O442" s="149"/>
    </row>
    <row r="443" spans="3:15" s="9" customFormat="1">
      <c r="C443" s="149"/>
      <c r="D443" s="149"/>
      <c r="E443" s="149"/>
      <c r="F443" s="149"/>
      <c r="G443" s="149"/>
      <c r="H443" s="149"/>
      <c r="I443" s="149"/>
      <c r="J443" s="149"/>
      <c r="K443" s="149"/>
      <c r="L443" s="149"/>
      <c r="M443" s="149"/>
      <c r="N443" s="149"/>
      <c r="O443" s="149"/>
    </row>
    <row r="444" spans="3:15" s="9" customFormat="1">
      <c r="C444" s="149"/>
      <c r="D444" s="149"/>
      <c r="E444" s="149"/>
      <c r="F444" s="149"/>
      <c r="G444" s="149"/>
      <c r="H444" s="149"/>
      <c r="I444" s="149"/>
      <c r="J444" s="149"/>
      <c r="K444" s="149"/>
      <c r="L444" s="149"/>
      <c r="M444" s="149"/>
      <c r="N444" s="149"/>
      <c r="O444" s="149"/>
    </row>
    <row r="445" spans="3:15" s="9" customFormat="1">
      <c r="C445" s="149"/>
      <c r="D445" s="149"/>
      <c r="E445" s="149"/>
      <c r="F445" s="149"/>
      <c r="G445" s="149"/>
      <c r="H445" s="149"/>
      <c r="I445" s="149"/>
      <c r="J445" s="149"/>
      <c r="K445" s="149"/>
      <c r="L445" s="149"/>
      <c r="M445" s="149"/>
      <c r="N445" s="149"/>
      <c r="O445" s="149"/>
    </row>
    <row r="446" spans="3:15" s="9" customFormat="1">
      <c r="C446" s="149"/>
      <c r="D446" s="149"/>
      <c r="E446" s="149"/>
      <c r="F446" s="149"/>
      <c r="G446" s="149"/>
      <c r="H446" s="149"/>
      <c r="I446" s="149"/>
      <c r="J446" s="149"/>
      <c r="K446" s="149"/>
      <c r="L446" s="149"/>
      <c r="M446" s="149"/>
      <c r="N446" s="149"/>
      <c r="O446" s="149"/>
    </row>
    <row r="447" spans="3:15" s="9" customFormat="1">
      <c r="C447" s="149"/>
      <c r="D447" s="149"/>
      <c r="E447" s="149"/>
      <c r="F447" s="149"/>
      <c r="G447" s="149"/>
      <c r="H447" s="149"/>
      <c r="I447" s="149"/>
      <c r="J447" s="149"/>
      <c r="K447" s="149"/>
      <c r="L447" s="149"/>
      <c r="M447" s="149"/>
      <c r="N447" s="149"/>
      <c r="O447" s="149"/>
    </row>
    <row r="448" spans="3:15" s="9" customFormat="1">
      <c r="C448" s="149"/>
      <c r="D448" s="149"/>
      <c r="E448" s="149"/>
      <c r="F448" s="149"/>
      <c r="G448" s="149"/>
      <c r="H448" s="149"/>
      <c r="I448" s="149"/>
      <c r="J448" s="149"/>
      <c r="K448" s="149"/>
      <c r="L448" s="149"/>
      <c r="M448" s="149"/>
      <c r="N448" s="149"/>
      <c r="O448" s="149"/>
    </row>
    <row r="449" spans="3:15" s="9" customFormat="1">
      <c r="C449" s="149"/>
      <c r="D449" s="149"/>
      <c r="E449" s="149"/>
      <c r="F449" s="149"/>
      <c r="G449" s="149"/>
      <c r="H449" s="149"/>
      <c r="I449" s="149"/>
      <c r="J449" s="149"/>
      <c r="K449" s="149"/>
      <c r="L449" s="149"/>
      <c r="M449" s="149"/>
      <c r="N449" s="149"/>
      <c r="O449" s="149"/>
    </row>
    <row r="450" spans="3:15" s="9" customFormat="1">
      <c r="C450" s="149"/>
      <c r="D450" s="149"/>
      <c r="E450" s="149"/>
      <c r="F450" s="149"/>
      <c r="G450" s="149"/>
      <c r="H450" s="149"/>
      <c r="I450" s="149"/>
      <c r="J450" s="149"/>
      <c r="K450" s="149"/>
      <c r="L450" s="149"/>
      <c r="M450" s="149"/>
      <c r="N450" s="149"/>
      <c r="O450" s="149"/>
    </row>
    <row r="451" spans="3:15" s="9" customFormat="1">
      <c r="C451" s="149"/>
      <c r="D451" s="149"/>
      <c r="E451" s="149"/>
      <c r="F451" s="149"/>
      <c r="G451" s="149"/>
      <c r="H451" s="149"/>
      <c r="I451" s="149"/>
      <c r="J451" s="149"/>
      <c r="K451" s="149"/>
      <c r="L451" s="149"/>
      <c r="M451" s="149"/>
      <c r="N451" s="149"/>
      <c r="O451" s="149"/>
    </row>
    <row r="452" spans="3:15" s="9" customFormat="1">
      <c r="C452" s="149"/>
      <c r="D452" s="149"/>
      <c r="E452" s="149"/>
      <c r="F452" s="149"/>
      <c r="G452" s="149"/>
      <c r="H452" s="149"/>
      <c r="I452" s="149"/>
      <c r="J452" s="149"/>
      <c r="K452" s="149"/>
      <c r="L452" s="149"/>
      <c r="M452" s="149"/>
      <c r="N452" s="149"/>
      <c r="O452" s="149"/>
    </row>
    <row r="453" spans="3:15" s="9" customFormat="1">
      <c r="C453" s="149"/>
      <c r="D453" s="149"/>
      <c r="E453" s="149"/>
      <c r="F453" s="149"/>
      <c r="G453" s="149"/>
      <c r="H453" s="149"/>
      <c r="I453" s="149"/>
      <c r="J453" s="149"/>
      <c r="K453" s="149"/>
      <c r="L453" s="149"/>
      <c r="M453" s="149"/>
      <c r="N453" s="149"/>
      <c r="O453" s="149"/>
    </row>
    <row r="454" spans="3:15" s="9" customFormat="1">
      <c r="C454" s="149"/>
      <c r="D454" s="149"/>
      <c r="E454" s="149"/>
      <c r="F454" s="149"/>
      <c r="G454" s="149"/>
      <c r="H454" s="149"/>
      <c r="I454" s="149"/>
      <c r="J454" s="149"/>
      <c r="K454" s="149"/>
      <c r="L454" s="149"/>
      <c r="M454" s="149"/>
      <c r="N454" s="149"/>
      <c r="O454" s="149"/>
    </row>
    <row r="455" spans="3:15" s="9" customFormat="1">
      <c r="C455" s="149"/>
      <c r="D455" s="149"/>
      <c r="E455" s="149"/>
      <c r="F455" s="149"/>
      <c r="G455" s="149"/>
      <c r="H455" s="149"/>
      <c r="I455" s="149"/>
      <c r="J455" s="149"/>
      <c r="K455" s="149"/>
      <c r="L455" s="149"/>
      <c r="M455" s="149"/>
      <c r="N455" s="149"/>
      <c r="O455" s="149"/>
    </row>
    <row r="456" spans="3:15" s="9" customFormat="1">
      <c r="C456" s="149"/>
      <c r="D456" s="149"/>
      <c r="E456" s="149"/>
      <c r="F456" s="149"/>
      <c r="G456" s="149"/>
      <c r="H456" s="149"/>
      <c r="I456" s="149"/>
      <c r="J456" s="149"/>
      <c r="K456" s="149"/>
      <c r="L456" s="149"/>
      <c r="M456" s="149"/>
      <c r="N456" s="149"/>
      <c r="O456" s="149"/>
    </row>
    <row r="457" spans="3:15" s="9" customFormat="1">
      <c r="C457" s="149"/>
      <c r="D457" s="149"/>
      <c r="E457" s="149"/>
      <c r="F457" s="149"/>
      <c r="G457" s="149"/>
      <c r="H457" s="149"/>
      <c r="I457" s="149"/>
      <c r="J457" s="149"/>
      <c r="K457" s="149"/>
      <c r="L457" s="149"/>
      <c r="M457" s="149"/>
      <c r="N457" s="149"/>
      <c r="O457" s="149"/>
    </row>
    <row r="458" spans="3:15" s="9" customFormat="1">
      <c r="C458" s="149"/>
      <c r="D458" s="149"/>
      <c r="E458" s="149"/>
      <c r="F458" s="149"/>
      <c r="G458" s="149"/>
      <c r="H458" s="149"/>
      <c r="I458" s="149"/>
      <c r="J458" s="149"/>
      <c r="K458" s="149"/>
      <c r="L458" s="149"/>
      <c r="M458" s="149"/>
      <c r="N458" s="149"/>
      <c r="O458" s="149"/>
    </row>
    <row r="459" spans="3:15" s="9" customFormat="1">
      <c r="C459" s="149"/>
      <c r="D459" s="149"/>
      <c r="E459" s="149"/>
      <c r="F459" s="149"/>
      <c r="G459" s="149"/>
      <c r="H459" s="149"/>
      <c r="I459" s="149"/>
      <c r="J459" s="149"/>
      <c r="K459" s="149"/>
      <c r="L459" s="149"/>
      <c r="M459" s="149"/>
      <c r="N459" s="149"/>
      <c r="O459" s="149"/>
    </row>
    <row r="460" spans="3:15" s="9" customFormat="1">
      <c r="C460" s="149"/>
      <c r="D460" s="149"/>
      <c r="E460" s="149"/>
      <c r="F460" s="149"/>
      <c r="G460" s="149"/>
      <c r="H460" s="149"/>
      <c r="I460" s="149"/>
      <c r="J460" s="149"/>
      <c r="K460" s="149"/>
      <c r="L460" s="149"/>
      <c r="M460" s="149"/>
      <c r="N460" s="149"/>
      <c r="O460" s="149"/>
    </row>
    <row r="461" spans="3:15" s="9" customFormat="1">
      <c r="C461" s="149"/>
      <c r="D461" s="149"/>
      <c r="E461" s="149"/>
      <c r="F461" s="149"/>
      <c r="G461" s="149"/>
      <c r="H461" s="149"/>
      <c r="I461" s="149"/>
      <c r="J461" s="149"/>
      <c r="K461" s="149"/>
      <c r="L461" s="149"/>
      <c r="M461" s="149"/>
      <c r="N461" s="149"/>
      <c r="O461" s="149"/>
    </row>
    <row r="462" spans="3:15" s="9" customFormat="1">
      <c r="C462" s="149"/>
      <c r="D462" s="149"/>
      <c r="E462" s="149"/>
      <c r="F462" s="149"/>
      <c r="G462" s="149"/>
      <c r="H462" s="149"/>
      <c r="I462" s="149"/>
      <c r="J462" s="149"/>
      <c r="K462" s="149"/>
      <c r="L462" s="149"/>
      <c r="M462" s="149"/>
      <c r="N462" s="149"/>
      <c r="O462" s="149"/>
    </row>
    <row r="463" spans="3:15" s="9" customFormat="1">
      <c r="C463" s="149"/>
      <c r="D463" s="149"/>
      <c r="E463" s="149"/>
      <c r="F463" s="149"/>
      <c r="G463" s="149"/>
      <c r="H463" s="149"/>
      <c r="I463" s="149"/>
      <c r="J463" s="149"/>
      <c r="K463" s="149"/>
      <c r="L463" s="149"/>
      <c r="M463" s="149"/>
      <c r="N463" s="149"/>
      <c r="O463" s="149"/>
    </row>
    <row r="464" spans="3:15" s="9" customFormat="1">
      <c r="C464" s="149"/>
      <c r="D464" s="149"/>
      <c r="E464" s="149"/>
      <c r="F464" s="149"/>
      <c r="G464" s="149"/>
      <c r="H464" s="149"/>
      <c r="I464" s="149"/>
      <c r="J464" s="149"/>
      <c r="K464" s="149"/>
      <c r="L464" s="149"/>
      <c r="M464" s="149"/>
      <c r="N464" s="149"/>
      <c r="O464" s="149"/>
    </row>
    <row r="465" spans="3:15" s="9" customFormat="1">
      <c r="C465" s="149"/>
      <c r="D465" s="149"/>
      <c r="E465" s="149"/>
      <c r="F465" s="149"/>
      <c r="G465" s="149"/>
      <c r="H465" s="149"/>
      <c r="I465" s="149"/>
      <c r="J465" s="149"/>
      <c r="K465" s="149"/>
      <c r="L465" s="149"/>
      <c r="M465" s="149"/>
      <c r="N465" s="149"/>
      <c r="O465" s="149"/>
    </row>
    <row r="466" spans="3:15" s="9" customFormat="1">
      <c r="C466" s="149"/>
      <c r="D466" s="149"/>
      <c r="E466" s="149"/>
      <c r="F466" s="149"/>
      <c r="G466" s="149"/>
      <c r="H466" s="149"/>
      <c r="I466" s="149"/>
      <c r="J466" s="149"/>
      <c r="K466" s="149"/>
      <c r="L466" s="149"/>
      <c r="M466" s="149"/>
      <c r="N466" s="149"/>
      <c r="O466" s="149"/>
    </row>
    <row r="467" spans="3:15" s="9" customFormat="1">
      <c r="C467" s="149"/>
      <c r="D467" s="149"/>
      <c r="E467" s="149"/>
      <c r="F467" s="149"/>
      <c r="G467" s="149"/>
      <c r="H467" s="149"/>
      <c r="I467" s="149"/>
      <c r="J467" s="149"/>
      <c r="K467" s="149"/>
      <c r="L467" s="149"/>
      <c r="M467" s="149"/>
      <c r="N467" s="149"/>
      <c r="O467" s="149"/>
    </row>
    <row r="468" spans="3:15" s="9" customFormat="1">
      <c r="C468" s="149"/>
      <c r="D468" s="149"/>
      <c r="E468" s="149"/>
      <c r="F468" s="149"/>
      <c r="G468" s="149"/>
      <c r="H468" s="149"/>
      <c r="I468" s="149"/>
      <c r="J468" s="149"/>
      <c r="K468" s="149"/>
      <c r="L468" s="149"/>
      <c r="M468" s="149"/>
      <c r="N468" s="149"/>
      <c r="O468" s="149"/>
    </row>
    <row r="469" spans="3:15" s="9" customFormat="1">
      <c r="C469" s="149"/>
      <c r="D469" s="149"/>
      <c r="E469" s="149"/>
      <c r="F469" s="149"/>
      <c r="G469" s="149"/>
      <c r="H469" s="149"/>
      <c r="I469" s="149"/>
      <c r="J469" s="149"/>
      <c r="K469" s="149"/>
      <c r="L469" s="149"/>
      <c r="M469" s="149"/>
      <c r="N469" s="149"/>
      <c r="O469" s="149"/>
    </row>
    <row r="470" spans="3:15" s="9" customFormat="1">
      <c r="C470" s="149"/>
      <c r="D470" s="149"/>
      <c r="E470" s="149"/>
      <c r="F470" s="149"/>
      <c r="G470" s="149"/>
      <c r="H470" s="149"/>
      <c r="I470" s="149"/>
      <c r="J470" s="149"/>
      <c r="K470" s="149"/>
      <c r="L470" s="149"/>
      <c r="M470" s="149"/>
      <c r="N470" s="149"/>
      <c r="O470" s="149"/>
    </row>
    <row r="471" spans="3:15" s="9" customFormat="1">
      <c r="C471" s="149"/>
      <c r="D471" s="149"/>
      <c r="E471" s="149"/>
      <c r="F471" s="149"/>
      <c r="G471" s="149"/>
      <c r="H471" s="149"/>
      <c r="I471" s="149"/>
      <c r="J471" s="149"/>
      <c r="K471" s="149"/>
      <c r="L471" s="149"/>
      <c r="M471" s="149"/>
      <c r="N471" s="149"/>
      <c r="O471" s="149"/>
    </row>
    <row r="472" spans="3:15" s="9" customFormat="1">
      <c r="C472" s="149"/>
      <c r="D472" s="149"/>
      <c r="E472" s="149"/>
      <c r="F472" s="149"/>
      <c r="G472" s="149"/>
      <c r="H472" s="149"/>
      <c r="I472" s="149"/>
      <c r="J472" s="149"/>
      <c r="K472" s="149"/>
      <c r="L472" s="149"/>
      <c r="M472" s="149"/>
      <c r="N472" s="149"/>
      <c r="O472" s="149"/>
    </row>
    <row r="473" spans="3:15" s="9" customFormat="1">
      <c r="C473" s="149"/>
      <c r="D473" s="149"/>
      <c r="E473" s="149"/>
      <c r="F473" s="149"/>
      <c r="G473" s="149"/>
      <c r="H473" s="149"/>
      <c r="I473" s="149"/>
      <c r="J473" s="149"/>
      <c r="K473" s="149"/>
      <c r="L473" s="149"/>
      <c r="M473" s="149"/>
      <c r="N473" s="149"/>
      <c r="O473" s="149"/>
    </row>
    <row r="474" spans="3:15" s="9" customFormat="1">
      <c r="C474" s="149"/>
      <c r="D474" s="149"/>
      <c r="E474" s="149"/>
      <c r="F474" s="149"/>
      <c r="G474" s="149"/>
      <c r="H474" s="149"/>
      <c r="I474" s="149"/>
      <c r="J474" s="149"/>
      <c r="K474" s="149"/>
      <c r="L474" s="149"/>
      <c r="M474" s="149"/>
      <c r="N474" s="149"/>
      <c r="O474" s="149"/>
    </row>
    <row r="475" spans="3:15" s="9" customFormat="1">
      <c r="C475" s="149"/>
      <c r="D475" s="149"/>
      <c r="E475" s="149"/>
      <c r="F475" s="149"/>
      <c r="G475" s="149"/>
      <c r="H475" s="149"/>
      <c r="I475" s="149"/>
      <c r="J475" s="149"/>
      <c r="K475" s="149"/>
      <c r="L475" s="149"/>
      <c r="M475" s="149"/>
      <c r="N475" s="149"/>
      <c r="O475" s="149"/>
    </row>
    <row r="476" spans="3:15" s="9" customFormat="1">
      <c r="C476" s="149"/>
      <c r="D476" s="149"/>
      <c r="E476" s="149"/>
      <c r="F476" s="149"/>
      <c r="G476" s="149"/>
      <c r="H476" s="149"/>
      <c r="I476" s="149"/>
      <c r="J476" s="149"/>
      <c r="K476" s="149"/>
      <c r="L476" s="149"/>
      <c r="M476" s="149"/>
      <c r="N476" s="149"/>
      <c r="O476" s="149"/>
    </row>
    <row r="477" spans="3:15" s="9" customFormat="1">
      <c r="C477" s="149"/>
      <c r="D477" s="149"/>
      <c r="E477" s="149"/>
      <c r="F477" s="149"/>
      <c r="G477" s="149"/>
      <c r="H477" s="149"/>
      <c r="I477" s="149"/>
      <c r="J477" s="149"/>
      <c r="K477" s="149"/>
      <c r="L477" s="149"/>
      <c r="M477" s="149"/>
      <c r="N477" s="149"/>
      <c r="O477" s="149"/>
    </row>
    <row r="478" spans="3:15" s="9" customFormat="1">
      <c r="C478" s="149"/>
      <c r="D478" s="149"/>
      <c r="E478" s="149"/>
      <c r="F478" s="149"/>
      <c r="G478" s="149"/>
      <c r="H478" s="149"/>
      <c r="I478" s="149"/>
      <c r="J478" s="149"/>
      <c r="K478" s="149"/>
      <c r="L478" s="149"/>
      <c r="M478" s="149"/>
      <c r="N478" s="149"/>
      <c r="O478" s="149"/>
    </row>
    <row r="479" spans="3:15" s="9" customFormat="1">
      <c r="C479" s="149"/>
      <c r="D479" s="149"/>
      <c r="E479" s="149"/>
      <c r="F479" s="149"/>
      <c r="G479" s="149"/>
      <c r="H479" s="149"/>
      <c r="I479" s="149"/>
      <c r="J479" s="149"/>
      <c r="K479" s="149"/>
      <c r="L479" s="149"/>
      <c r="M479" s="149"/>
      <c r="N479" s="149"/>
      <c r="O479" s="149"/>
    </row>
    <row r="480" spans="3:15" s="9" customFormat="1">
      <c r="C480" s="149"/>
      <c r="D480" s="149"/>
      <c r="E480" s="149"/>
      <c r="F480" s="149"/>
      <c r="G480" s="149"/>
      <c r="H480" s="149"/>
      <c r="I480" s="149"/>
      <c r="J480" s="149"/>
      <c r="K480" s="149"/>
      <c r="L480" s="149"/>
      <c r="M480" s="149"/>
      <c r="N480" s="149"/>
      <c r="O480" s="149"/>
    </row>
    <row r="481" spans="3:15" s="9" customFormat="1">
      <c r="C481" s="149"/>
      <c r="D481" s="149"/>
      <c r="E481" s="149"/>
      <c r="F481" s="149"/>
      <c r="G481" s="149"/>
      <c r="H481" s="149"/>
      <c r="I481" s="149"/>
      <c r="J481" s="149"/>
      <c r="K481" s="149"/>
      <c r="L481" s="149"/>
      <c r="M481" s="149"/>
      <c r="N481" s="149"/>
      <c r="O481" s="149"/>
    </row>
    <row r="482" spans="3:15" s="9" customFormat="1">
      <c r="C482" s="149"/>
      <c r="D482" s="149"/>
      <c r="E482" s="149"/>
      <c r="F482" s="149"/>
      <c r="G482" s="149"/>
      <c r="H482" s="149"/>
      <c r="I482" s="149"/>
      <c r="J482" s="149"/>
      <c r="K482" s="149"/>
      <c r="L482" s="149"/>
      <c r="M482" s="149"/>
      <c r="N482" s="149"/>
      <c r="O482" s="149"/>
    </row>
  </sheetData>
  <sheetProtection sheet="1" objects="1" scenarios="1"/>
  <mergeCells count="3">
    <mergeCell ref="G4:H4"/>
    <mergeCell ref="G5:H5"/>
    <mergeCell ref="J1:L1"/>
  </mergeCells>
  <conditionalFormatting sqref="C10">
    <cfRule type="expression" dxfId="2" priority="11">
      <formula>$C$50&lt;=0</formula>
    </cfRule>
  </conditionalFormatting>
  <conditionalFormatting sqref="D10:N10">
    <cfRule type="expression" dxfId="1" priority="10">
      <formula>$D$50&lt;=0</formula>
    </cfRule>
  </conditionalFormatting>
  <conditionalFormatting sqref="G5:H5">
    <cfRule type="expression" dxfId="0" priority="13">
      <formula>$G$5&lt;0</formula>
    </cfRule>
  </conditionalFormatting>
  <dataValidations count="5">
    <dataValidation type="whole" operator="greaterThanOrEqual" allowBlank="1" showInputMessage="1" showErrorMessage="1" sqref="C18" xr:uid="{D59C9E1C-6AAA-464E-8F1C-17FA577C8BA1}">
      <formula1>0</formula1>
    </dataValidation>
    <dataValidation operator="greaterThanOrEqual" allowBlank="1" showInputMessage="1" showErrorMessage="1" sqref="D31:N31 C29:N29 D18:N18" xr:uid="{3DBEB8EC-2874-4C09-8BD2-4DE91057B98C}"/>
    <dataValidation type="decimal" operator="greaterThanOrEqual" allowBlank="1" showInputMessage="1" showErrorMessage="1" error="Only numbers" sqref="C12:N14" xr:uid="{89C7DA58-39AC-4C9C-9ED2-C9EC99F47450}">
      <formula1>0</formula1>
    </dataValidation>
    <dataValidation type="whole" operator="greaterThanOrEqual" allowBlank="1" showInputMessage="1" showErrorMessage="1" error="Only Numbers" sqref="C30:N30 C33:N34 C25 C19:N24 C27:N28 D25:N26" xr:uid="{5D21E517-5E19-4BE8-8F39-B2E4BFF41EED}">
      <formula1>0</formula1>
    </dataValidation>
    <dataValidation operator="greaterThanOrEqual" allowBlank="1" showInputMessage="1" showErrorMessage="1" error="Only Numbers" sqref="C32:N32" xr:uid="{857E1EAB-3AC2-42AB-AB77-616805E5C2AF}"/>
  </dataValidations>
  <hyperlinks>
    <hyperlink ref="O5" location="'Revenue Streams'!A1" display="Back Revenue Streams" xr:uid="{95B6C25B-2521-48D3-950C-1CC8DECEE26B}"/>
    <hyperlink ref="R45" location="'Financial Report'!F4" display="GoTo Financial Report" xr:uid="{993FA733-8829-4557-9ADD-A0B0D6B15728}"/>
  </hyperlinks>
  <pageMargins left="0.7" right="0.7" top="0.75" bottom="0.75" header="0.3" footer="0.3"/>
  <pageSetup scale="67" orientation="landscape" r:id="rId1"/>
  <colBreaks count="1" manualBreakCount="1">
    <brk id="16" min="6" max="41"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549E4-B205-487A-8D49-BF9E3AB44E92}">
  <sheetPr codeName="Sheet2"/>
  <dimension ref="A1:AQ452"/>
  <sheetViews>
    <sheetView topLeftCell="A35" zoomScaleNormal="100" workbookViewId="0">
      <selection activeCell="I2" sqref="I2"/>
    </sheetView>
  </sheetViews>
  <sheetFormatPr defaultRowHeight="15"/>
  <cols>
    <col min="1" max="1" width="2.375" style="80" customWidth="1"/>
    <col min="2" max="2" width="21.5" style="81" customWidth="1"/>
    <col min="3" max="3" width="51" style="81" customWidth="1"/>
    <col min="4" max="4" width="11.375" style="81" customWidth="1"/>
    <col min="5" max="5" width="0.5" style="81" customWidth="1"/>
    <col min="6" max="6" width="13.875" style="81" customWidth="1"/>
    <col min="7" max="7" width="2.375" style="80" hidden="1" customWidth="1"/>
    <col min="8" max="8" width="7.375" style="8" customWidth="1"/>
    <col min="9" max="9" width="12.875" style="81" customWidth="1"/>
    <col min="10" max="10" width="7.5" style="9" customWidth="1"/>
    <col min="11" max="43" width="9" style="9"/>
    <col min="44" max="253" width="9" style="80"/>
    <col min="254" max="254" width="2.375" style="80" customWidth="1"/>
    <col min="255" max="255" width="17.375" style="80" customWidth="1"/>
    <col min="256" max="256" width="36.25" style="80" customWidth="1"/>
    <col min="257" max="257" width="11.375" style="80" customWidth="1"/>
    <col min="258" max="258" width="0" style="80" hidden="1" customWidth="1"/>
    <col min="259" max="259" width="12.75" style="80" customWidth="1"/>
    <col min="260" max="260" width="0" style="80" hidden="1" customWidth="1"/>
    <col min="261" max="509" width="9" style="80"/>
    <col min="510" max="510" width="2.375" style="80" customWidth="1"/>
    <col min="511" max="511" width="17.375" style="80" customWidth="1"/>
    <col min="512" max="512" width="36.25" style="80" customWidth="1"/>
    <col min="513" max="513" width="11.375" style="80" customWidth="1"/>
    <col min="514" max="514" width="0" style="80" hidden="1" customWidth="1"/>
    <col min="515" max="515" width="12.75" style="80" customWidth="1"/>
    <col min="516" max="516" width="0" style="80" hidden="1" customWidth="1"/>
    <col min="517" max="765" width="9" style="80"/>
    <col min="766" max="766" width="2.375" style="80" customWidth="1"/>
    <col min="767" max="767" width="17.375" style="80" customWidth="1"/>
    <col min="768" max="768" width="36.25" style="80" customWidth="1"/>
    <col min="769" max="769" width="11.375" style="80" customWidth="1"/>
    <col min="770" max="770" width="0" style="80" hidden="1" customWidth="1"/>
    <col min="771" max="771" width="12.75" style="80" customWidth="1"/>
    <col min="772" max="772" width="0" style="80" hidden="1" customWidth="1"/>
    <col min="773" max="1021" width="9" style="80"/>
    <col min="1022" max="1022" width="2.375" style="80" customWidth="1"/>
    <col min="1023" max="1023" width="17.375" style="80" customWidth="1"/>
    <col min="1024" max="1024" width="36.25" style="80" customWidth="1"/>
    <col min="1025" max="1025" width="11.375" style="80" customWidth="1"/>
    <col min="1026" max="1026" width="0" style="80" hidden="1" customWidth="1"/>
    <col min="1027" max="1027" width="12.75" style="80" customWidth="1"/>
    <col min="1028" max="1028" width="0" style="80" hidden="1" customWidth="1"/>
    <col min="1029" max="1277" width="9" style="80"/>
    <col min="1278" max="1278" width="2.375" style="80" customWidth="1"/>
    <col min="1279" max="1279" width="17.375" style="80" customWidth="1"/>
    <col min="1280" max="1280" width="36.25" style="80" customWidth="1"/>
    <col min="1281" max="1281" width="11.375" style="80" customWidth="1"/>
    <col min="1282" max="1282" width="0" style="80" hidden="1" customWidth="1"/>
    <col min="1283" max="1283" width="12.75" style="80" customWidth="1"/>
    <col min="1284" max="1284" width="0" style="80" hidden="1" customWidth="1"/>
    <col min="1285" max="1533" width="9" style="80"/>
    <col min="1534" max="1534" width="2.375" style="80" customWidth="1"/>
    <col min="1535" max="1535" width="17.375" style="80" customWidth="1"/>
    <col min="1536" max="1536" width="36.25" style="80" customWidth="1"/>
    <col min="1537" max="1537" width="11.375" style="80" customWidth="1"/>
    <col min="1538" max="1538" width="0" style="80" hidden="1" customWidth="1"/>
    <col min="1539" max="1539" width="12.75" style="80" customWidth="1"/>
    <col min="1540" max="1540" width="0" style="80" hidden="1" customWidth="1"/>
    <col min="1541" max="1789" width="9" style="80"/>
    <col min="1790" max="1790" width="2.375" style="80" customWidth="1"/>
    <col min="1791" max="1791" width="17.375" style="80" customWidth="1"/>
    <col min="1792" max="1792" width="36.25" style="80" customWidth="1"/>
    <col min="1793" max="1793" width="11.375" style="80" customWidth="1"/>
    <col min="1794" max="1794" width="0" style="80" hidden="1" customWidth="1"/>
    <col min="1795" max="1795" width="12.75" style="80" customWidth="1"/>
    <col min="1796" max="1796" width="0" style="80" hidden="1" customWidth="1"/>
    <col min="1797" max="2045" width="9" style="80"/>
    <col min="2046" max="2046" width="2.375" style="80" customWidth="1"/>
    <col min="2047" max="2047" width="17.375" style="80" customWidth="1"/>
    <col min="2048" max="2048" width="36.25" style="80" customWidth="1"/>
    <col min="2049" max="2049" width="11.375" style="80" customWidth="1"/>
    <col min="2050" max="2050" width="0" style="80" hidden="1" customWidth="1"/>
    <col min="2051" max="2051" width="12.75" style="80" customWidth="1"/>
    <col min="2052" max="2052" width="0" style="80" hidden="1" customWidth="1"/>
    <col min="2053" max="2301" width="9" style="80"/>
    <col min="2302" max="2302" width="2.375" style="80" customWidth="1"/>
    <col min="2303" max="2303" width="17.375" style="80" customWidth="1"/>
    <col min="2304" max="2304" width="36.25" style="80" customWidth="1"/>
    <col min="2305" max="2305" width="11.375" style="80" customWidth="1"/>
    <col min="2306" max="2306" width="0" style="80" hidden="1" customWidth="1"/>
    <col min="2307" max="2307" width="12.75" style="80" customWidth="1"/>
    <col min="2308" max="2308" width="0" style="80" hidden="1" customWidth="1"/>
    <col min="2309" max="2557" width="9" style="80"/>
    <col min="2558" max="2558" width="2.375" style="80" customWidth="1"/>
    <col min="2559" max="2559" width="17.375" style="80" customWidth="1"/>
    <col min="2560" max="2560" width="36.25" style="80" customWidth="1"/>
    <col min="2561" max="2561" width="11.375" style="80" customWidth="1"/>
    <col min="2562" max="2562" width="0" style="80" hidden="1" customWidth="1"/>
    <col min="2563" max="2563" width="12.75" style="80" customWidth="1"/>
    <col min="2564" max="2564" width="0" style="80" hidden="1" customWidth="1"/>
    <col min="2565" max="2813" width="9" style="80"/>
    <col min="2814" max="2814" width="2.375" style="80" customWidth="1"/>
    <col min="2815" max="2815" width="17.375" style="80" customWidth="1"/>
    <col min="2816" max="2816" width="36.25" style="80" customWidth="1"/>
    <col min="2817" max="2817" width="11.375" style="80" customWidth="1"/>
    <col min="2818" max="2818" width="0" style="80" hidden="1" customWidth="1"/>
    <col min="2819" max="2819" width="12.75" style="80" customWidth="1"/>
    <col min="2820" max="2820" width="0" style="80" hidden="1" customWidth="1"/>
    <col min="2821" max="3069" width="9" style="80"/>
    <col min="3070" max="3070" width="2.375" style="80" customWidth="1"/>
    <col min="3071" max="3071" width="17.375" style="80" customWidth="1"/>
    <col min="3072" max="3072" width="36.25" style="80" customWidth="1"/>
    <col min="3073" max="3073" width="11.375" style="80" customWidth="1"/>
    <col min="3074" max="3074" width="0" style="80" hidden="1" customWidth="1"/>
    <col min="3075" max="3075" width="12.75" style="80" customWidth="1"/>
    <col min="3076" max="3076" width="0" style="80" hidden="1" customWidth="1"/>
    <col min="3077" max="3325" width="9" style="80"/>
    <col min="3326" max="3326" width="2.375" style="80" customWidth="1"/>
    <col min="3327" max="3327" width="17.375" style="80" customWidth="1"/>
    <col min="3328" max="3328" width="36.25" style="80" customWidth="1"/>
    <col min="3329" max="3329" width="11.375" style="80" customWidth="1"/>
    <col min="3330" max="3330" width="0" style="80" hidden="1" customWidth="1"/>
    <col min="3331" max="3331" width="12.75" style="80" customWidth="1"/>
    <col min="3332" max="3332" width="0" style="80" hidden="1" customWidth="1"/>
    <col min="3333" max="3581" width="9" style="80"/>
    <col min="3582" max="3582" width="2.375" style="80" customWidth="1"/>
    <col min="3583" max="3583" width="17.375" style="80" customWidth="1"/>
    <col min="3584" max="3584" width="36.25" style="80" customWidth="1"/>
    <col min="3585" max="3585" width="11.375" style="80" customWidth="1"/>
    <col min="3586" max="3586" width="0" style="80" hidden="1" customWidth="1"/>
    <col min="3587" max="3587" width="12.75" style="80" customWidth="1"/>
    <col min="3588" max="3588" width="0" style="80" hidden="1" customWidth="1"/>
    <col min="3589" max="3837" width="9" style="80"/>
    <col min="3838" max="3838" width="2.375" style="80" customWidth="1"/>
    <col min="3839" max="3839" width="17.375" style="80" customWidth="1"/>
    <col min="3840" max="3840" width="36.25" style="80" customWidth="1"/>
    <col min="3841" max="3841" width="11.375" style="80" customWidth="1"/>
    <col min="3842" max="3842" width="0" style="80" hidden="1" customWidth="1"/>
    <col min="3843" max="3843" width="12.75" style="80" customWidth="1"/>
    <col min="3844" max="3844" width="0" style="80" hidden="1" customWidth="1"/>
    <col min="3845" max="4093" width="9" style="80"/>
    <col min="4094" max="4094" width="2.375" style="80" customWidth="1"/>
    <col min="4095" max="4095" width="17.375" style="80" customWidth="1"/>
    <col min="4096" max="4096" width="36.25" style="80" customWidth="1"/>
    <col min="4097" max="4097" width="11.375" style="80" customWidth="1"/>
    <col min="4098" max="4098" width="0" style="80" hidden="1" customWidth="1"/>
    <col min="4099" max="4099" width="12.75" style="80" customWidth="1"/>
    <col min="4100" max="4100" width="0" style="80" hidden="1" customWidth="1"/>
    <col min="4101" max="4349" width="9" style="80"/>
    <col min="4350" max="4350" width="2.375" style="80" customWidth="1"/>
    <col min="4351" max="4351" width="17.375" style="80" customWidth="1"/>
    <col min="4352" max="4352" width="36.25" style="80" customWidth="1"/>
    <col min="4353" max="4353" width="11.375" style="80" customWidth="1"/>
    <col min="4354" max="4354" width="0" style="80" hidden="1" customWidth="1"/>
    <col min="4355" max="4355" width="12.75" style="80" customWidth="1"/>
    <col min="4356" max="4356" width="0" style="80" hidden="1" customWidth="1"/>
    <col min="4357" max="4605" width="9" style="80"/>
    <col min="4606" max="4606" width="2.375" style="80" customWidth="1"/>
    <col min="4607" max="4607" width="17.375" style="80" customWidth="1"/>
    <col min="4608" max="4608" width="36.25" style="80" customWidth="1"/>
    <col min="4609" max="4609" width="11.375" style="80" customWidth="1"/>
    <col min="4610" max="4610" width="0" style="80" hidden="1" customWidth="1"/>
    <col min="4611" max="4611" width="12.75" style="80" customWidth="1"/>
    <col min="4612" max="4612" width="0" style="80" hidden="1" customWidth="1"/>
    <col min="4613" max="4861" width="9" style="80"/>
    <col min="4862" max="4862" width="2.375" style="80" customWidth="1"/>
    <col min="4863" max="4863" width="17.375" style="80" customWidth="1"/>
    <col min="4864" max="4864" width="36.25" style="80" customWidth="1"/>
    <col min="4865" max="4865" width="11.375" style="80" customWidth="1"/>
    <col min="4866" max="4866" width="0" style="80" hidden="1" customWidth="1"/>
    <col min="4867" max="4867" width="12.75" style="80" customWidth="1"/>
    <col min="4868" max="4868" width="0" style="80" hidden="1" customWidth="1"/>
    <col min="4869" max="5117" width="9" style="80"/>
    <col min="5118" max="5118" width="2.375" style="80" customWidth="1"/>
    <col min="5119" max="5119" width="17.375" style="80" customWidth="1"/>
    <col min="5120" max="5120" width="36.25" style="80" customWidth="1"/>
    <col min="5121" max="5121" width="11.375" style="80" customWidth="1"/>
    <col min="5122" max="5122" width="0" style="80" hidden="1" customWidth="1"/>
    <col min="5123" max="5123" width="12.75" style="80" customWidth="1"/>
    <col min="5124" max="5124" width="0" style="80" hidden="1" customWidth="1"/>
    <col min="5125" max="5373" width="9" style="80"/>
    <col min="5374" max="5374" width="2.375" style="80" customWidth="1"/>
    <col min="5375" max="5375" width="17.375" style="80" customWidth="1"/>
    <col min="5376" max="5376" width="36.25" style="80" customWidth="1"/>
    <col min="5377" max="5377" width="11.375" style="80" customWidth="1"/>
    <col min="5378" max="5378" width="0" style="80" hidden="1" customWidth="1"/>
    <col min="5379" max="5379" width="12.75" style="80" customWidth="1"/>
    <col min="5380" max="5380" width="0" style="80" hidden="1" customWidth="1"/>
    <col min="5381" max="5629" width="9" style="80"/>
    <col min="5630" max="5630" width="2.375" style="80" customWidth="1"/>
    <col min="5631" max="5631" width="17.375" style="80" customWidth="1"/>
    <col min="5632" max="5632" width="36.25" style="80" customWidth="1"/>
    <col min="5633" max="5633" width="11.375" style="80" customWidth="1"/>
    <col min="5634" max="5634" width="0" style="80" hidden="1" customWidth="1"/>
    <col min="5635" max="5635" width="12.75" style="80" customWidth="1"/>
    <col min="5636" max="5636" width="0" style="80" hidden="1" customWidth="1"/>
    <col min="5637" max="5885" width="9" style="80"/>
    <col min="5886" max="5886" width="2.375" style="80" customWidth="1"/>
    <col min="5887" max="5887" width="17.375" style="80" customWidth="1"/>
    <col min="5888" max="5888" width="36.25" style="80" customWidth="1"/>
    <col min="5889" max="5889" width="11.375" style="80" customWidth="1"/>
    <col min="5890" max="5890" width="0" style="80" hidden="1" customWidth="1"/>
    <col min="5891" max="5891" width="12.75" style="80" customWidth="1"/>
    <col min="5892" max="5892" width="0" style="80" hidden="1" customWidth="1"/>
    <col min="5893" max="6141" width="9" style="80"/>
    <col min="6142" max="6142" width="2.375" style="80" customWidth="1"/>
    <col min="6143" max="6143" width="17.375" style="80" customWidth="1"/>
    <col min="6144" max="6144" width="36.25" style="80" customWidth="1"/>
    <col min="6145" max="6145" width="11.375" style="80" customWidth="1"/>
    <col min="6146" max="6146" width="0" style="80" hidden="1" customWidth="1"/>
    <col min="6147" max="6147" width="12.75" style="80" customWidth="1"/>
    <col min="6148" max="6148" width="0" style="80" hidden="1" customWidth="1"/>
    <col min="6149" max="6397" width="9" style="80"/>
    <col min="6398" max="6398" width="2.375" style="80" customWidth="1"/>
    <col min="6399" max="6399" width="17.375" style="80" customWidth="1"/>
    <col min="6400" max="6400" width="36.25" style="80" customWidth="1"/>
    <col min="6401" max="6401" width="11.375" style="80" customWidth="1"/>
    <col min="6402" max="6402" width="0" style="80" hidden="1" customWidth="1"/>
    <col min="6403" max="6403" width="12.75" style="80" customWidth="1"/>
    <col min="6404" max="6404" width="0" style="80" hidden="1" customWidth="1"/>
    <col min="6405" max="6653" width="9" style="80"/>
    <col min="6654" max="6654" width="2.375" style="80" customWidth="1"/>
    <col min="6655" max="6655" width="17.375" style="80" customWidth="1"/>
    <col min="6656" max="6656" width="36.25" style="80" customWidth="1"/>
    <col min="6657" max="6657" width="11.375" style="80" customWidth="1"/>
    <col min="6658" max="6658" width="0" style="80" hidden="1" customWidth="1"/>
    <col min="6659" max="6659" width="12.75" style="80" customWidth="1"/>
    <col min="6660" max="6660" width="0" style="80" hidden="1" customWidth="1"/>
    <col min="6661" max="6909" width="9" style="80"/>
    <col min="6910" max="6910" width="2.375" style="80" customWidth="1"/>
    <col min="6911" max="6911" width="17.375" style="80" customWidth="1"/>
    <col min="6912" max="6912" width="36.25" style="80" customWidth="1"/>
    <col min="6913" max="6913" width="11.375" style="80" customWidth="1"/>
    <col min="6914" max="6914" width="0" style="80" hidden="1" customWidth="1"/>
    <col min="6915" max="6915" width="12.75" style="80" customWidth="1"/>
    <col min="6916" max="6916" width="0" style="80" hidden="1" customWidth="1"/>
    <col min="6917" max="7165" width="9" style="80"/>
    <col min="7166" max="7166" width="2.375" style="80" customWidth="1"/>
    <col min="7167" max="7167" width="17.375" style="80" customWidth="1"/>
    <col min="7168" max="7168" width="36.25" style="80" customWidth="1"/>
    <col min="7169" max="7169" width="11.375" style="80" customWidth="1"/>
    <col min="7170" max="7170" width="0" style="80" hidden="1" customWidth="1"/>
    <col min="7171" max="7171" width="12.75" style="80" customWidth="1"/>
    <col min="7172" max="7172" width="0" style="80" hidden="1" customWidth="1"/>
    <col min="7173" max="7421" width="9" style="80"/>
    <col min="7422" max="7422" width="2.375" style="80" customWidth="1"/>
    <col min="7423" max="7423" width="17.375" style="80" customWidth="1"/>
    <col min="7424" max="7424" width="36.25" style="80" customWidth="1"/>
    <col min="7425" max="7425" width="11.375" style="80" customWidth="1"/>
    <col min="7426" max="7426" width="0" style="80" hidden="1" customWidth="1"/>
    <col min="7427" max="7427" width="12.75" style="80" customWidth="1"/>
    <col min="7428" max="7428" width="0" style="80" hidden="1" customWidth="1"/>
    <col min="7429" max="7677" width="9" style="80"/>
    <col min="7678" max="7678" width="2.375" style="80" customWidth="1"/>
    <col min="7679" max="7679" width="17.375" style="80" customWidth="1"/>
    <col min="7680" max="7680" width="36.25" style="80" customWidth="1"/>
    <col min="7681" max="7681" width="11.375" style="80" customWidth="1"/>
    <col min="7682" max="7682" width="0" style="80" hidden="1" customWidth="1"/>
    <col min="7683" max="7683" width="12.75" style="80" customWidth="1"/>
    <col min="7684" max="7684" width="0" style="80" hidden="1" customWidth="1"/>
    <col min="7685" max="7933" width="9" style="80"/>
    <col min="7934" max="7934" width="2.375" style="80" customWidth="1"/>
    <col min="7935" max="7935" width="17.375" style="80" customWidth="1"/>
    <col min="7936" max="7936" width="36.25" style="80" customWidth="1"/>
    <col min="7937" max="7937" width="11.375" style="80" customWidth="1"/>
    <col min="7938" max="7938" width="0" style="80" hidden="1" customWidth="1"/>
    <col min="7939" max="7939" width="12.75" style="80" customWidth="1"/>
    <col min="7940" max="7940" width="0" style="80" hidden="1" customWidth="1"/>
    <col min="7941" max="8189" width="9" style="80"/>
    <col min="8190" max="8190" width="2.375" style="80" customWidth="1"/>
    <col min="8191" max="8191" width="17.375" style="80" customWidth="1"/>
    <col min="8192" max="8192" width="36.25" style="80" customWidth="1"/>
    <col min="8193" max="8193" width="11.375" style="80" customWidth="1"/>
    <col min="8194" max="8194" width="0" style="80" hidden="1" customWidth="1"/>
    <col min="8195" max="8195" width="12.75" style="80" customWidth="1"/>
    <col min="8196" max="8196" width="0" style="80" hidden="1" customWidth="1"/>
    <col min="8197" max="8445" width="9" style="80"/>
    <col min="8446" max="8446" width="2.375" style="80" customWidth="1"/>
    <col min="8447" max="8447" width="17.375" style="80" customWidth="1"/>
    <col min="8448" max="8448" width="36.25" style="80" customWidth="1"/>
    <col min="8449" max="8449" width="11.375" style="80" customWidth="1"/>
    <col min="8450" max="8450" width="0" style="80" hidden="1" customWidth="1"/>
    <col min="8451" max="8451" width="12.75" style="80" customWidth="1"/>
    <col min="8452" max="8452" width="0" style="80" hidden="1" customWidth="1"/>
    <col min="8453" max="8701" width="9" style="80"/>
    <col min="8702" max="8702" width="2.375" style="80" customWidth="1"/>
    <col min="8703" max="8703" width="17.375" style="80" customWidth="1"/>
    <col min="8704" max="8704" width="36.25" style="80" customWidth="1"/>
    <col min="8705" max="8705" width="11.375" style="80" customWidth="1"/>
    <col min="8706" max="8706" width="0" style="80" hidden="1" customWidth="1"/>
    <col min="8707" max="8707" width="12.75" style="80" customWidth="1"/>
    <col min="8708" max="8708" width="0" style="80" hidden="1" customWidth="1"/>
    <col min="8709" max="8957" width="9" style="80"/>
    <col min="8958" max="8958" width="2.375" style="80" customWidth="1"/>
    <col min="8959" max="8959" width="17.375" style="80" customWidth="1"/>
    <col min="8960" max="8960" width="36.25" style="80" customWidth="1"/>
    <col min="8961" max="8961" width="11.375" style="80" customWidth="1"/>
    <col min="8962" max="8962" width="0" style="80" hidden="1" customWidth="1"/>
    <col min="8963" max="8963" width="12.75" style="80" customWidth="1"/>
    <col min="8964" max="8964" width="0" style="80" hidden="1" customWidth="1"/>
    <col min="8965" max="9213" width="9" style="80"/>
    <col min="9214" max="9214" width="2.375" style="80" customWidth="1"/>
    <col min="9215" max="9215" width="17.375" style="80" customWidth="1"/>
    <col min="9216" max="9216" width="36.25" style="80" customWidth="1"/>
    <col min="9217" max="9217" width="11.375" style="80" customWidth="1"/>
    <col min="9218" max="9218" width="0" style="80" hidden="1" customWidth="1"/>
    <col min="9219" max="9219" width="12.75" style="80" customWidth="1"/>
    <col min="9220" max="9220" width="0" style="80" hidden="1" customWidth="1"/>
    <col min="9221" max="9469" width="9" style="80"/>
    <col min="9470" max="9470" width="2.375" style="80" customWidth="1"/>
    <col min="9471" max="9471" width="17.375" style="80" customWidth="1"/>
    <col min="9472" max="9472" width="36.25" style="80" customWidth="1"/>
    <col min="9473" max="9473" width="11.375" style="80" customWidth="1"/>
    <col min="9474" max="9474" width="0" style="80" hidden="1" customWidth="1"/>
    <col min="9475" max="9475" width="12.75" style="80" customWidth="1"/>
    <col min="9476" max="9476" width="0" style="80" hidden="1" customWidth="1"/>
    <col min="9477" max="9725" width="9" style="80"/>
    <col min="9726" max="9726" width="2.375" style="80" customWidth="1"/>
    <col min="9727" max="9727" width="17.375" style="80" customWidth="1"/>
    <col min="9728" max="9728" width="36.25" style="80" customWidth="1"/>
    <col min="9729" max="9729" width="11.375" style="80" customWidth="1"/>
    <col min="9730" max="9730" width="0" style="80" hidden="1" customWidth="1"/>
    <col min="9731" max="9731" width="12.75" style="80" customWidth="1"/>
    <col min="9732" max="9732" width="0" style="80" hidden="1" customWidth="1"/>
    <col min="9733" max="9981" width="9" style="80"/>
    <col min="9982" max="9982" width="2.375" style="80" customWidth="1"/>
    <col min="9983" max="9983" width="17.375" style="80" customWidth="1"/>
    <col min="9984" max="9984" width="36.25" style="80" customWidth="1"/>
    <col min="9985" max="9985" width="11.375" style="80" customWidth="1"/>
    <col min="9986" max="9986" width="0" style="80" hidden="1" customWidth="1"/>
    <col min="9987" max="9987" width="12.75" style="80" customWidth="1"/>
    <col min="9988" max="9988" width="0" style="80" hidden="1" customWidth="1"/>
    <col min="9989" max="10237" width="9" style="80"/>
    <col min="10238" max="10238" width="2.375" style="80" customWidth="1"/>
    <col min="10239" max="10239" width="17.375" style="80" customWidth="1"/>
    <col min="10240" max="10240" width="36.25" style="80" customWidth="1"/>
    <col min="10241" max="10241" width="11.375" style="80" customWidth="1"/>
    <col min="10242" max="10242" width="0" style="80" hidden="1" customWidth="1"/>
    <col min="10243" max="10243" width="12.75" style="80" customWidth="1"/>
    <col min="10244" max="10244" width="0" style="80" hidden="1" customWidth="1"/>
    <col min="10245" max="10493" width="9" style="80"/>
    <col min="10494" max="10494" width="2.375" style="80" customWidth="1"/>
    <col min="10495" max="10495" width="17.375" style="80" customWidth="1"/>
    <col min="10496" max="10496" width="36.25" style="80" customWidth="1"/>
    <col min="10497" max="10497" width="11.375" style="80" customWidth="1"/>
    <col min="10498" max="10498" width="0" style="80" hidden="1" customWidth="1"/>
    <col min="10499" max="10499" width="12.75" style="80" customWidth="1"/>
    <col min="10500" max="10500" width="0" style="80" hidden="1" customWidth="1"/>
    <col min="10501" max="10749" width="9" style="80"/>
    <col min="10750" max="10750" width="2.375" style="80" customWidth="1"/>
    <col min="10751" max="10751" width="17.375" style="80" customWidth="1"/>
    <col min="10752" max="10752" width="36.25" style="80" customWidth="1"/>
    <col min="10753" max="10753" width="11.375" style="80" customWidth="1"/>
    <col min="10754" max="10754" width="0" style="80" hidden="1" customWidth="1"/>
    <col min="10755" max="10755" width="12.75" style="80" customWidth="1"/>
    <col min="10756" max="10756" width="0" style="80" hidden="1" customWidth="1"/>
    <col min="10757" max="11005" width="9" style="80"/>
    <col min="11006" max="11006" width="2.375" style="80" customWidth="1"/>
    <col min="11007" max="11007" width="17.375" style="80" customWidth="1"/>
    <col min="11008" max="11008" width="36.25" style="80" customWidth="1"/>
    <col min="11009" max="11009" width="11.375" style="80" customWidth="1"/>
    <col min="11010" max="11010" width="0" style="80" hidden="1" customWidth="1"/>
    <col min="11011" max="11011" width="12.75" style="80" customWidth="1"/>
    <col min="11012" max="11012" width="0" style="80" hidden="1" customWidth="1"/>
    <col min="11013" max="11261" width="9" style="80"/>
    <col min="11262" max="11262" width="2.375" style="80" customWidth="1"/>
    <col min="11263" max="11263" width="17.375" style="80" customWidth="1"/>
    <col min="11264" max="11264" width="36.25" style="80" customWidth="1"/>
    <col min="11265" max="11265" width="11.375" style="80" customWidth="1"/>
    <col min="11266" max="11266" width="0" style="80" hidden="1" customWidth="1"/>
    <col min="11267" max="11267" width="12.75" style="80" customWidth="1"/>
    <col min="11268" max="11268" width="0" style="80" hidden="1" customWidth="1"/>
    <col min="11269" max="11517" width="9" style="80"/>
    <col min="11518" max="11518" width="2.375" style="80" customWidth="1"/>
    <col min="11519" max="11519" width="17.375" style="80" customWidth="1"/>
    <col min="11520" max="11520" width="36.25" style="80" customWidth="1"/>
    <col min="11521" max="11521" width="11.375" style="80" customWidth="1"/>
    <col min="11522" max="11522" width="0" style="80" hidden="1" customWidth="1"/>
    <col min="11523" max="11523" width="12.75" style="80" customWidth="1"/>
    <col min="11524" max="11524" width="0" style="80" hidden="1" customWidth="1"/>
    <col min="11525" max="11773" width="9" style="80"/>
    <col min="11774" max="11774" width="2.375" style="80" customWidth="1"/>
    <col min="11775" max="11775" width="17.375" style="80" customWidth="1"/>
    <col min="11776" max="11776" width="36.25" style="80" customWidth="1"/>
    <col min="11777" max="11777" width="11.375" style="80" customWidth="1"/>
    <col min="11778" max="11778" width="0" style="80" hidden="1" customWidth="1"/>
    <col min="11779" max="11779" width="12.75" style="80" customWidth="1"/>
    <col min="11780" max="11780" width="0" style="80" hidden="1" customWidth="1"/>
    <col min="11781" max="12029" width="9" style="80"/>
    <col min="12030" max="12030" width="2.375" style="80" customWidth="1"/>
    <col min="12031" max="12031" width="17.375" style="80" customWidth="1"/>
    <col min="12032" max="12032" width="36.25" style="80" customWidth="1"/>
    <col min="12033" max="12033" width="11.375" style="80" customWidth="1"/>
    <col min="12034" max="12034" width="0" style="80" hidden="1" customWidth="1"/>
    <col min="12035" max="12035" width="12.75" style="80" customWidth="1"/>
    <col min="12036" max="12036" width="0" style="80" hidden="1" customWidth="1"/>
    <col min="12037" max="12285" width="9" style="80"/>
    <col min="12286" max="12286" width="2.375" style="80" customWidth="1"/>
    <col min="12287" max="12287" width="17.375" style="80" customWidth="1"/>
    <col min="12288" max="12288" width="36.25" style="80" customWidth="1"/>
    <col min="12289" max="12289" width="11.375" style="80" customWidth="1"/>
    <col min="12290" max="12290" width="0" style="80" hidden="1" customWidth="1"/>
    <col min="12291" max="12291" width="12.75" style="80" customWidth="1"/>
    <col min="12292" max="12292" width="0" style="80" hidden="1" customWidth="1"/>
    <col min="12293" max="12541" width="9" style="80"/>
    <col min="12542" max="12542" width="2.375" style="80" customWidth="1"/>
    <col min="12543" max="12543" width="17.375" style="80" customWidth="1"/>
    <col min="12544" max="12544" width="36.25" style="80" customWidth="1"/>
    <col min="12545" max="12545" width="11.375" style="80" customWidth="1"/>
    <col min="12546" max="12546" width="0" style="80" hidden="1" customWidth="1"/>
    <col min="12547" max="12547" width="12.75" style="80" customWidth="1"/>
    <col min="12548" max="12548" width="0" style="80" hidden="1" customWidth="1"/>
    <col min="12549" max="12797" width="9" style="80"/>
    <col min="12798" max="12798" width="2.375" style="80" customWidth="1"/>
    <col min="12799" max="12799" width="17.375" style="80" customWidth="1"/>
    <col min="12800" max="12800" width="36.25" style="80" customWidth="1"/>
    <col min="12801" max="12801" width="11.375" style="80" customWidth="1"/>
    <col min="12802" max="12802" width="0" style="80" hidden="1" customWidth="1"/>
    <col min="12803" max="12803" width="12.75" style="80" customWidth="1"/>
    <col min="12804" max="12804" width="0" style="80" hidden="1" customWidth="1"/>
    <col min="12805" max="13053" width="9" style="80"/>
    <col min="13054" max="13054" width="2.375" style="80" customWidth="1"/>
    <col min="13055" max="13055" width="17.375" style="80" customWidth="1"/>
    <col min="13056" max="13056" width="36.25" style="80" customWidth="1"/>
    <col min="13057" max="13057" width="11.375" style="80" customWidth="1"/>
    <col min="13058" max="13058" width="0" style="80" hidden="1" customWidth="1"/>
    <col min="13059" max="13059" width="12.75" style="80" customWidth="1"/>
    <col min="13060" max="13060" width="0" style="80" hidden="1" customWidth="1"/>
    <col min="13061" max="13309" width="9" style="80"/>
    <col min="13310" max="13310" width="2.375" style="80" customWidth="1"/>
    <col min="13311" max="13311" width="17.375" style="80" customWidth="1"/>
    <col min="13312" max="13312" width="36.25" style="80" customWidth="1"/>
    <col min="13313" max="13313" width="11.375" style="80" customWidth="1"/>
    <col min="13314" max="13314" width="0" style="80" hidden="1" customWidth="1"/>
    <col min="13315" max="13315" width="12.75" style="80" customWidth="1"/>
    <col min="13316" max="13316" width="0" style="80" hidden="1" customWidth="1"/>
    <col min="13317" max="13565" width="9" style="80"/>
    <col min="13566" max="13566" width="2.375" style="80" customWidth="1"/>
    <col min="13567" max="13567" width="17.375" style="80" customWidth="1"/>
    <col min="13568" max="13568" width="36.25" style="80" customWidth="1"/>
    <col min="13569" max="13569" width="11.375" style="80" customWidth="1"/>
    <col min="13570" max="13570" width="0" style="80" hidden="1" customWidth="1"/>
    <col min="13571" max="13571" width="12.75" style="80" customWidth="1"/>
    <col min="13572" max="13572" width="0" style="80" hidden="1" customWidth="1"/>
    <col min="13573" max="13821" width="9" style="80"/>
    <col min="13822" max="13822" width="2.375" style="80" customWidth="1"/>
    <col min="13823" max="13823" width="17.375" style="80" customWidth="1"/>
    <col min="13824" max="13824" width="36.25" style="80" customWidth="1"/>
    <col min="13825" max="13825" width="11.375" style="80" customWidth="1"/>
    <col min="13826" max="13826" width="0" style="80" hidden="1" customWidth="1"/>
    <col min="13827" max="13827" width="12.75" style="80" customWidth="1"/>
    <col min="13828" max="13828" width="0" style="80" hidden="1" customWidth="1"/>
    <col min="13829" max="14077" width="9" style="80"/>
    <col min="14078" max="14078" width="2.375" style="80" customWidth="1"/>
    <col min="14079" max="14079" width="17.375" style="80" customWidth="1"/>
    <col min="14080" max="14080" width="36.25" style="80" customWidth="1"/>
    <col min="14081" max="14081" width="11.375" style="80" customWidth="1"/>
    <col min="14082" max="14082" width="0" style="80" hidden="1" customWidth="1"/>
    <col min="14083" max="14083" width="12.75" style="80" customWidth="1"/>
    <col min="14084" max="14084" width="0" style="80" hidden="1" customWidth="1"/>
    <col min="14085" max="14333" width="9" style="80"/>
    <col min="14334" max="14334" width="2.375" style="80" customWidth="1"/>
    <col min="14335" max="14335" width="17.375" style="80" customWidth="1"/>
    <col min="14336" max="14336" width="36.25" style="80" customWidth="1"/>
    <col min="14337" max="14337" width="11.375" style="80" customWidth="1"/>
    <col min="14338" max="14338" width="0" style="80" hidden="1" customWidth="1"/>
    <col min="14339" max="14339" width="12.75" style="80" customWidth="1"/>
    <col min="14340" max="14340" width="0" style="80" hidden="1" customWidth="1"/>
    <col min="14341" max="14589" width="9" style="80"/>
    <col min="14590" max="14590" width="2.375" style="80" customWidth="1"/>
    <col min="14591" max="14591" width="17.375" style="80" customWidth="1"/>
    <col min="14592" max="14592" width="36.25" style="80" customWidth="1"/>
    <col min="14593" max="14593" width="11.375" style="80" customWidth="1"/>
    <col min="14594" max="14594" width="0" style="80" hidden="1" customWidth="1"/>
    <col min="14595" max="14595" width="12.75" style="80" customWidth="1"/>
    <col min="14596" max="14596" width="0" style="80" hidden="1" customWidth="1"/>
    <col min="14597" max="14845" width="9" style="80"/>
    <col min="14846" max="14846" width="2.375" style="80" customWidth="1"/>
    <col min="14847" max="14847" width="17.375" style="80" customWidth="1"/>
    <col min="14848" max="14848" width="36.25" style="80" customWidth="1"/>
    <col min="14849" max="14849" width="11.375" style="80" customWidth="1"/>
    <col min="14850" max="14850" width="0" style="80" hidden="1" customWidth="1"/>
    <col min="14851" max="14851" width="12.75" style="80" customWidth="1"/>
    <col min="14852" max="14852" width="0" style="80" hidden="1" customWidth="1"/>
    <col min="14853" max="15101" width="9" style="80"/>
    <col min="15102" max="15102" width="2.375" style="80" customWidth="1"/>
    <col min="15103" max="15103" width="17.375" style="80" customWidth="1"/>
    <col min="15104" max="15104" width="36.25" style="80" customWidth="1"/>
    <col min="15105" max="15105" width="11.375" style="80" customWidth="1"/>
    <col min="15106" max="15106" width="0" style="80" hidden="1" customWidth="1"/>
    <col min="15107" max="15107" width="12.75" style="80" customWidth="1"/>
    <col min="15108" max="15108" width="0" style="80" hidden="1" customWidth="1"/>
    <col min="15109" max="15357" width="9" style="80"/>
    <col min="15358" max="15358" width="2.375" style="80" customWidth="1"/>
    <col min="15359" max="15359" width="17.375" style="80" customWidth="1"/>
    <col min="15360" max="15360" width="36.25" style="80" customWidth="1"/>
    <col min="15361" max="15361" width="11.375" style="80" customWidth="1"/>
    <col min="15362" max="15362" width="0" style="80" hidden="1" customWidth="1"/>
    <col min="15363" max="15363" width="12.75" style="80" customWidth="1"/>
    <col min="15364" max="15364" width="0" style="80" hidden="1" customWidth="1"/>
    <col min="15365" max="15613" width="9" style="80"/>
    <col min="15614" max="15614" width="2.375" style="80" customWidth="1"/>
    <col min="15615" max="15615" width="17.375" style="80" customWidth="1"/>
    <col min="15616" max="15616" width="36.25" style="80" customWidth="1"/>
    <col min="15617" max="15617" width="11.375" style="80" customWidth="1"/>
    <col min="15618" max="15618" width="0" style="80" hidden="1" customWidth="1"/>
    <col min="15619" max="15619" width="12.75" style="80" customWidth="1"/>
    <col min="15620" max="15620" width="0" style="80" hidden="1" customWidth="1"/>
    <col min="15621" max="15869" width="9" style="80"/>
    <col min="15870" max="15870" width="2.375" style="80" customWidth="1"/>
    <col min="15871" max="15871" width="17.375" style="80" customWidth="1"/>
    <col min="15872" max="15872" width="36.25" style="80" customWidth="1"/>
    <col min="15873" max="15873" width="11.375" style="80" customWidth="1"/>
    <col min="15874" max="15874" width="0" style="80" hidden="1" customWidth="1"/>
    <col min="15875" max="15875" width="12.75" style="80" customWidth="1"/>
    <col min="15876" max="15876" width="0" style="80" hidden="1" customWidth="1"/>
    <col min="15877" max="16125" width="9" style="80"/>
    <col min="16126" max="16126" width="2.375" style="80" customWidth="1"/>
    <col min="16127" max="16127" width="17.375" style="80" customWidth="1"/>
    <col min="16128" max="16128" width="36.25" style="80" customWidth="1"/>
    <col min="16129" max="16129" width="11.375" style="80" customWidth="1"/>
    <col min="16130" max="16130" width="0" style="80" hidden="1" customWidth="1"/>
    <col min="16131" max="16131" width="12.75" style="80" customWidth="1"/>
    <col min="16132" max="16132" width="0" style="80" hidden="1" customWidth="1"/>
    <col min="16133" max="16384" width="9" style="80"/>
  </cols>
  <sheetData>
    <row r="1" spans="1:10" s="9" customFormat="1" ht="18.75" customHeight="1">
      <c r="A1" s="4"/>
      <c r="B1" s="5"/>
      <c r="C1" s="6"/>
      <c r="D1" s="6"/>
      <c r="E1" s="5"/>
      <c r="F1" s="5"/>
      <c r="G1" s="7"/>
      <c r="H1" s="8"/>
      <c r="I1" s="5"/>
    </row>
    <row r="2" spans="1:10" s="9" customFormat="1" ht="18">
      <c r="A2" s="10"/>
      <c r="B2" s="712"/>
      <c r="C2" s="713"/>
      <c r="D2" s="713"/>
      <c r="E2" s="713"/>
      <c r="F2" s="714"/>
      <c r="G2" s="11"/>
      <c r="H2" s="8"/>
    </row>
    <row r="3" spans="1:10" s="9" customFormat="1" ht="15.75" thickBot="1">
      <c r="A3" s="10"/>
      <c r="B3" s="399"/>
      <c r="C3" s="6"/>
      <c r="D3" s="400"/>
      <c r="E3" s="12"/>
      <c r="F3" s="113"/>
      <c r="G3" s="11"/>
      <c r="H3" s="8"/>
    </row>
    <row r="4" spans="1:10" s="9" customFormat="1" ht="15.75" thickBot="1">
      <c r="A4" s="10"/>
      <c r="B4" s="399"/>
      <c r="C4" s="13" t="str">
        <f>'Lean Canvas'!J4</f>
        <v xml:space="preserve"> </v>
      </c>
      <c r="D4" s="14" t="s">
        <v>409</v>
      </c>
      <c r="E4" s="12"/>
      <c r="F4" s="224"/>
      <c r="G4" s="11"/>
      <c r="H4" s="8"/>
      <c r="I4" s="396"/>
    </row>
    <row r="5" spans="1:10" s="9" customFormat="1" ht="27.75" customHeight="1" thickBot="1">
      <c r="A5" s="10"/>
      <c r="B5" s="401"/>
      <c r="C5" s="12"/>
      <c r="D5" s="15"/>
      <c r="E5" s="12"/>
      <c r="F5" s="228" t="s">
        <v>410</v>
      </c>
      <c r="G5" s="16"/>
      <c r="H5" s="8"/>
      <c r="I5" s="228" t="s">
        <v>411</v>
      </c>
    </row>
    <row r="6" spans="1:10" s="9" customFormat="1" ht="26.25" thickBot="1">
      <c r="A6" s="10"/>
      <c r="B6" s="402" t="s">
        <v>412</v>
      </c>
      <c r="C6" s="6"/>
      <c r="D6" s="15"/>
      <c r="E6" s="12"/>
      <c r="F6" s="226">
        <v>0</v>
      </c>
      <c r="G6" s="11"/>
      <c r="H6" s="227">
        <f>100%+F6</f>
        <v>1</v>
      </c>
      <c r="I6" s="226">
        <v>0</v>
      </c>
      <c r="J6" s="227">
        <f>100%+I6</f>
        <v>1</v>
      </c>
    </row>
    <row r="7" spans="1:10" s="9" customFormat="1" ht="15.75" thickBot="1">
      <c r="A7" s="10"/>
      <c r="B7" s="401"/>
      <c r="C7" s="12"/>
      <c r="D7" s="119" t="s">
        <v>138</v>
      </c>
      <c r="E7" s="6"/>
      <c r="F7" s="225" t="s">
        <v>139</v>
      </c>
      <c r="H7" s="137" t="s">
        <v>413</v>
      </c>
      <c r="I7" s="119" t="s">
        <v>414</v>
      </c>
      <c r="J7" s="138" t="s">
        <v>413</v>
      </c>
    </row>
    <row r="8" spans="1:10" s="9" customFormat="1">
      <c r="A8" s="10"/>
      <c r="B8" s="423" t="s">
        <v>415</v>
      </c>
      <c r="C8" s="424" t="s">
        <v>416</v>
      </c>
      <c r="D8" s="91">
        <f>CashFlow!O12+CashFlow!O13</f>
        <v>0</v>
      </c>
      <c r="E8" s="122">
        <v>450000</v>
      </c>
      <c r="F8" s="20">
        <f>D8*(100%+$F$6)</f>
        <v>0</v>
      </c>
      <c r="H8" s="115" t="str">
        <f>IF(D8&gt;0,(F8-D8)/D8,"")</f>
        <v/>
      </c>
      <c r="I8" s="20">
        <f>F8*(100%+$I$6)</f>
        <v>0</v>
      </c>
      <c r="J8" s="115" t="str">
        <f>IF(F8&gt;0,(I8-F8)/F8,"")</f>
        <v/>
      </c>
    </row>
    <row r="9" spans="1:10" s="9" customFormat="1">
      <c r="A9" s="10"/>
      <c r="B9" s="423"/>
      <c r="C9" s="424"/>
      <c r="D9" s="90"/>
      <c r="E9" s="90"/>
      <c r="F9" s="90"/>
      <c r="G9" s="11"/>
      <c r="H9" s="18" t="str">
        <f>IF(D9&gt;0,(F9-D9)/D9,"")</f>
        <v/>
      </c>
      <c r="I9" s="90"/>
    </row>
    <row r="10" spans="1:10" s="9" customFormat="1">
      <c r="A10" s="10"/>
      <c r="B10" s="399" t="s">
        <v>417</v>
      </c>
      <c r="C10" s="19" t="s">
        <v>418</v>
      </c>
      <c r="D10" s="91">
        <f>CashFlow!O18+CashFlow!O19</f>
        <v>0</v>
      </c>
      <c r="E10" s="24"/>
      <c r="F10" s="20">
        <f>D10*(100%+$F$6)</f>
        <v>0</v>
      </c>
      <c r="H10" s="17" t="str">
        <f>IF(D10&gt;0,(F10-D10)/D10,"")</f>
        <v/>
      </c>
      <c r="I10" s="20">
        <f>F10*(100%+$I$6)</f>
        <v>0</v>
      </c>
      <c r="J10" s="17" t="str">
        <f>IF(F10&gt;0,(I10-F10)/F10,"")</f>
        <v/>
      </c>
    </row>
    <row r="11" spans="1:10" s="9" customFormat="1" hidden="1">
      <c r="A11" s="10"/>
      <c r="B11" s="401"/>
      <c r="C11" s="19" t="s">
        <v>419</v>
      </c>
      <c r="D11" s="91">
        <v>0</v>
      </c>
      <c r="E11" s="24"/>
      <c r="F11" s="20"/>
      <c r="H11" s="17" t="str">
        <f>IF(D11&gt;0,(F11-D11)/D11,"")</f>
        <v/>
      </c>
      <c r="I11" s="20"/>
    </row>
    <row r="12" spans="1:10" s="9" customFormat="1">
      <c r="A12" s="10"/>
      <c r="B12" s="401"/>
      <c r="C12" s="21"/>
      <c r="D12" s="120"/>
      <c r="E12" s="123"/>
      <c r="F12" s="92"/>
      <c r="G12" s="11"/>
      <c r="H12" s="18" t="str">
        <f t="shared" ref="H12:H75" si="0">IF(D12&gt;0,(F12-D12)/D12,"")</f>
        <v/>
      </c>
      <c r="I12" s="92"/>
      <c r="J12" s="17" t="str">
        <f>IF(F12&gt;0,(I12-F12)/F12,"")</f>
        <v/>
      </c>
    </row>
    <row r="13" spans="1:10" s="9" customFormat="1">
      <c r="A13" s="10"/>
      <c r="B13" s="401"/>
      <c r="C13" s="22" t="s">
        <v>420</v>
      </c>
      <c r="D13" s="93">
        <f>SUM(D10:D11)</f>
        <v>0</v>
      </c>
      <c r="E13" s="123"/>
      <c r="F13" s="93">
        <f>SUM(F10:F11)</f>
        <v>0</v>
      </c>
      <c r="H13" s="17" t="str">
        <f t="shared" si="0"/>
        <v/>
      </c>
      <c r="I13" s="93">
        <f>SUM(I10:I11)</f>
        <v>0</v>
      </c>
      <c r="J13" s="17" t="str">
        <f t="shared" ref="J13:J45" si="1">IF(F13&gt;0,(I13-F13)/F13,"")</f>
        <v/>
      </c>
    </row>
    <row r="14" spans="1:10" s="9" customFormat="1">
      <c r="A14" s="10"/>
      <c r="B14" s="425" t="s">
        <v>421</v>
      </c>
      <c r="C14" s="426" t="s">
        <v>422</v>
      </c>
      <c r="D14" s="121">
        <f>SUM(D8-D13)</f>
        <v>0</v>
      </c>
      <c r="E14" s="124"/>
      <c r="F14" s="93">
        <f>F8-F13</f>
        <v>0</v>
      </c>
      <c r="H14" s="17" t="str">
        <f t="shared" si="0"/>
        <v/>
      </c>
      <c r="I14" s="93">
        <f>I8-I13</f>
        <v>0</v>
      </c>
      <c r="J14" s="17" t="str">
        <f t="shared" si="1"/>
        <v/>
      </c>
    </row>
    <row r="15" spans="1:10" s="9" customFormat="1">
      <c r="A15" s="10"/>
      <c r="B15" s="401"/>
      <c r="C15" s="12"/>
      <c r="D15" s="403"/>
      <c r="E15" s="123"/>
      <c r="F15" s="404"/>
      <c r="G15" s="11"/>
      <c r="H15" s="18" t="str">
        <f t="shared" si="0"/>
        <v/>
      </c>
      <c r="I15" s="404"/>
      <c r="J15" s="17" t="str">
        <f t="shared" si="1"/>
        <v/>
      </c>
    </row>
    <row r="16" spans="1:10" s="9" customFormat="1">
      <c r="A16" s="10"/>
      <c r="B16" s="399" t="s">
        <v>423</v>
      </c>
      <c r="C16" s="23" t="s">
        <v>424</v>
      </c>
      <c r="D16" s="91">
        <f>CashFlow!O20</f>
        <v>0</v>
      </c>
      <c r="E16" s="90"/>
      <c r="F16" s="20">
        <f>D16*(100%+$F$6)</f>
        <v>0</v>
      </c>
      <c r="H16" s="17" t="str">
        <f t="shared" si="0"/>
        <v/>
      </c>
      <c r="I16" s="20">
        <f>F16*(100%+$I$6)</f>
        <v>0</v>
      </c>
      <c r="J16" s="17" t="str">
        <f t="shared" si="1"/>
        <v/>
      </c>
    </row>
    <row r="17" spans="1:10" s="9" customFormat="1">
      <c r="A17" s="10"/>
      <c r="B17" s="401"/>
      <c r="C17" s="22"/>
      <c r="D17" s="92"/>
      <c r="E17" s="90"/>
      <c r="F17" s="24"/>
      <c r="G17" s="11"/>
      <c r="H17" s="18" t="str">
        <f t="shared" si="0"/>
        <v/>
      </c>
      <c r="I17" s="24"/>
      <c r="J17" s="17" t="str">
        <f t="shared" si="1"/>
        <v/>
      </c>
    </row>
    <row r="18" spans="1:10" s="9" customFormat="1">
      <c r="A18" s="10"/>
      <c r="B18" s="401"/>
      <c r="C18" s="23" t="s">
        <v>425</v>
      </c>
      <c r="D18" s="91">
        <f>CashFlow!O21</f>
        <v>0</v>
      </c>
      <c r="E18" s="90"/>
      <c r="F18" s="20">
        <f>D18*(100%+$F$6)</f>
        <v>0</v>
      </c>
      <c r="H18" s="17" t="str">
        <f t="shared" si="0"/>
        <v/>
      </c>
      <c r="I18" s="20">
        <f>F18*(100%+$I$6)</f>
        <v>0</v>
      </c>
      <c r="J18" s="17" t="str">
        <f t="shared" si="1"/>
        <v/>
      </c>
    </row>
    <row r="19" spans="1:10" s="9" customFormat="1">
      <c r="A19" s="10"/>
      <c r="B19" s="401"/>
      <c r="C19" s="22"/>
      <c r="D19" s="24"/>
      <c r="E19" s="90"/>
      <c r="F19" s="24"/>
      <c r="G19" s="11"/>
      <c r="H19" s="18" t="str">
        <f t="shared" si="0"/>
        <v/>
      </c>
      <c r="I19" s="24"/>
      <c r="J19" s="17" t="str">
        <f t="shared" si="1"/>
        <v/>
      </c>
    </row>
    <row r="20" spans="1:10" s="9" customFormat="1">
      <c r="A20" s="10"/>
      <c r="B20" s="401"/>
      <c r="C20" s="23" t="s">
        <v>426</v>
      </c>
      <c r="D20" s="91">
        <f>CashFlow!O22</f>
        <v>0</v>
      </c>
      <c r="E20" s="90"/>
      <c r="F20" s="20">
        <f>D20*(100%+$F$6)</f>
        <v>0</v>
      </c>
      <c r="H20" s="17" t="str">
        <f t="shared" si="0"/>
        <v/>
      </c>
      <c r="I20" s="20">
        <f>F20*(100%+$I$6)</f>
        <v>0</v>
      </c>
      <c r="J20" s="17" t="str">
        <f t="shared" si="1"/>
        <v/>
      </c>
    </row>
    <row r="21" spans="1:10" s="9" customFormat="1">
      <c r="A21" s="10"/>
      <c r="B21" s="401"/>
      <c r="C21" s="22"/>
      <c r="D21" s="24"/>
      <c r="E21" s="90"/>
      <c r="F21" s="24"/>
      <c r="G21" s="11"/>
      <c r="H21" s="18" t="str">
        <f t="shared" si="0"/>
        <v/>
      </c>
      <c r="I21" s="24"/>
      <c r="J21" s="17" t="str">
        <f t="shared" si="1"/>
        <v/>
      </c>
    </row>
    <row r="22" spans="1:10" s="9" customFormat="1">
      <c r="A22" s="10"/>
      <c r="B22" s="401"/>
      <c r="C22" s="23" t="s">
        <v>427</v>
      </c>
      <c r="D22" s="91">
        <f>CashFlow!O23</f>
        <v>0</v>
      </c>
      <c r="E22" s="90">
        <v>72800</v>
      </c>
      <c r="F22" s="20">
        <f>D22*(100%+$F$6)</f>
        <v>0</v>
      </c>
      <c r="H22" s="17" t="str">
        <f t="shared" si="0"/>
        <v/>
      </c>
      <c r="I22" s="20">
        <f>F22*(100%+$I$6)</f>
        <v>0</v>
      </c>
      <c r="J22" s="17" t="str">
        <f t="shared" si="1"/>
        <v/>
      </c>
    </row>
    <row r="23" spans="1:10" s="9" customFormat="1">
      <c r="A23" s="10"/>
      <c r="B23" s="401"/>
      <c r="C23" s="22"/>
      <c r="D23" s="24"/>
      <c r="E23" s="90"/>
      <c r="F23" s="24"/>
      <c r="G23" s="11"/>
      <c r="H23" s="18" t="str">
        <f t="shared" si="0"/>
        <v/>
      </c>
      <c r="I23" s="24"/>
      <c r="J23" s="17" t="str">
        <f t="shared" si="1"/>
        <v/>
      </c>
    </row>
    <row r="24" spans="1:10" s="9" customFormat="1">
      <c r="A24" s="10"/>
      <c r="B24" s="401"/>
      <c r="C24" s="23" t="s">
        <v>388</v>
      </c>
      <c r="D24" s="91">
        <f>CashFlow!O24</f>
        <v>0</v>
      </c>
      <c r="E24" s="90">
        <v>4500</v>
      </c>
      <c r="F24" s="20">
        <f>D24*(100%+$F$6)</f>
        <v>0</v>
      </c>
      <c r="H24" s="17" t="str">
        <f t="shared" si="0"/>
        <v/>
      </c>
      <c r="I24" s="20">
        <f>F24*(100%+$I$6)</f>
        <v>0</v>
      </c>
      <c r="J24" s="17" t="str">
        <f t="shared" si="1"/>
        <v/>
      </c>
    </row>
    <row r="25" spans="1:10" s="9" customFormat="1">
      <c r="A25" s="10"/>
      <c r="B25" s="401"/>
      <c r="C25" s="22"/>
      <c r="D25" s="24"/>
      <c r="E25" s="90"/>
      <c r="F25" s="24"/>
      <c r="G25" s="11"/>
      <c r="H25" s="18" t="str">
        <f t="shared" si="0"/>
        <v/>
      </c>
      <c r="I25" s="24"/>
      <c r="J25" s="17" t="str">
        <f t="shared" si="1"/>
        <v/>
      </c>
    </row>
    <row r="26" spans="1:10" s="9" customFormat="1">
      <c r="A26" s="10"/>
      <c r="B26" s="401"/>
      <c r="C26" s="23" t="s">
        <v>428</v>
      </c>
      <c r="D26" s="91">
        <f>CashFlow!O26</f>
        <v>0</v>
      </c>
      <c r="E26" s="90"/>
      <c r="F26" s="20">
        <f>D26*(100%+$F$6)</f>
        <v>0</v>
      </c>
      <c r="H26" s="17" t="str">
        <f t="shared" si="0"/>
        <v/>
      </c>
      <c r="I26" s="20">
        <f>F26*(100%+$I$6)</f>
        <v>0</v>
      </c>
      <c r="J26" s="17" t="str">
        <f t="shared" si="1"/>
        <v/>
      </c>
    </row>
    <row r="27" spans="1:10" s="9" customFormat="1">
      <c r="A27" s="10"/>
      <c r="B27" s="401"/>
      <c r="C27" s="22"/>
      <c r="D27" s="24"/>
      <c r="E27" s="90"/>
      <c r="F27" s="24"/>
      <c r="G27" s="11"/>
      <c r="H27" s="18" t="str">
        <f t="shared" si="0"/>
        <v/>
      </c>
      <c r="I27" s="24"/>
      <c r="J27" s="17" t="str">
        <f t="shared" si="1"/>
        <v/>
      </c>
    </row>
    <row r="28" spans="1:10" s="9" customFormat="1">
      <c r="A28" s="10"/>
      <c r="B28" s="401"/>
      <c r="C28" s="23" t="s">
        <v>429</v>
      </c>
      <c r="D28" s="91">
        <f>CashFlow!O27</f>
        <v>0</v>
      </c>
      <c r="E28" s="90"/>
      <c r="F28" s="20">
        <f>D28*(100%+$F$6)</f>
        <v>0</v>
      </c>
      <c r="H28" s="17" t="str">
        <f t="shared" si="0"/>
        <v/>
      </c>
      <c r="I28" s="20">
        <f>F28*(100%+$I$6)</f>
        <v>0</v>
      </c>
      <c r="J28" s="17" t="str">
        <f t="shared" si="1"/>
        <v/>
      </c>
    </row>
    <row r="29" spans="1:10" s="9" customFormat="1">
      <c r="A29" s="10"/>
      <c r="B29" s="401"/>
      <c r="C29" s="22"/>
      <c r="D29" s="24"/>
      <c r="E29" s="90"/>
      <c r="F29" s="24"/>
      <c r="G29" s="11"/>
      <c r="H29" s="18" t="str">
        <f t="shared" si="0"/>
        <v/>
      </c>
      <c r="I29" s="24"/>
      <c r="J29" s="17" t="str">
        <f t="shared" si="1"/>
        <v/>
      </c>
    </row>
    <row r="30" spans="1:10" s="9" customFormat="1">
      <c r="A30" s="10"/>
      <c r="B30" s="401"/>
      <c r="C30" s="23" t="s">
        <v>430</v>
      </c>
      <c r="D30" s="91">
        <f>CashFlow!O28</f>
        <v>0</v>
      </c>
      <c r="E30" s="90"/>
      <c r="F30" s="20">
        <f>D30*(100%+$F$6)</f>
        <v>0</v>
      </c>
      <c r="H30" s="17" t="str">
        <f t="shared" si="0"/>
        <v/>
      </c>
      <c r="I30" s="20">
        <f>F30*(100%+$I$6)</f>
        <v>0</v>
      </c>
      <c r="J30" s="17" t="str">
        <f t="shared" si="1"/>
        <v/>
      </c>
    </row>
    <row r="31" spans="1:10" s="9" customFormat="1">
      <c r="A31" s="10"/>
      <c r="B31" s="401"/>
      <c r="C31" s="22"/>
      <c r="D31" s="24"/>
      <c r="E31" s="90"/>
      <c r="F31" s="24"/>
      <c r="G31" s="11"/>
      <c r="H31" s="18" t="str">
        <f t="shared" si="0"/>
        <v/>
      </c>
      <c r="I31" s="24"/>
      <c r="J31" s="17" t="str">
        <f t="shared" si="1"/>
        <v/>
      </c>
    </row>
    <row r="32" spans="1:10" s="9" customFormat="1">
      <c r="A32" s="10"/>
      <c r="B32" s="401"/>
      <c r="C32" s="23" t="s">
        <v>395</v>
      </c>
      <c r="D32" s="91">
        <f>CashFlow!O31</f>
        <v>0</v>
      </c>
      <c r="E32" s="90">
        <v>0</v>
      </c>
      <c r="F32" s="91">
        <f>('Startup-Costs'!F84*'Startup-Costs'!E84+'Startup-Costs'!F85*'Startup-Costs'!E85+'Startup-Costs'!F86*'Startup-Costs'!E86+'Startup-Costs'!F87*'Startup-Costs'!E87+'Startup-Costs'!F91*'Startup-Costs'!E91+'Startup-Costs'!F92*'Startup-Costs'!E92+'Startup-Costs'!F60*'Startup-Costs'!D60)</f>
        <v>0</v>
      </c>
      <c r="H32" s="17" t="str">
        <f t="shared" si="0"/>
        <v/>
      </c>
      <c r="I32" s="91">
        <f>('Startup-Costs'!G84*'Startup-Costs'!E84+'Startup-Costs'!G85*'Startup-Costs'!E85+'Startup-Costs'!G86*'Startup-Costs'!E86+'Startup-Costs'!G87*'Startup-Costs'!E87+'Startup-Costs'!G91*'Startup-Costs'!E91+'Startup-Costs'!G92*'Startup-Costs'!E92+'Startup-Costs'!G60*'Startup-Costs'!D60)</f>
        <v>0</v>
      </c>
      <c r="J32" s="17" t="str">
        <f t="shared" si="1"/>
        <v/>
      </c>
    </row>
    <row r="33" spans="1:10" s="9" customFormat="1">
      <c r="A33" s="10"/>
      <c r="B33" s="401"/>
      <c r="C33" s="22"/>
      <c r="D33" s="24"/>
      <c r="E33" s="90"/>
      <c r="F33" s="24"/>
      <c r="G33" s="11"/>
      <c r="H33" s="18" t="str">
        <f t="shared" si="0"/>
        <v/>
      </c>
      <c r="I33" s="24"/>
      <c r="J33" s="17" t="str">
        <f t="shared" si="1"/>
        <v/>
      </c>
    </row>
    <row r="34" spans="1:10" s="9" customFormat="1">
      <c r="A34" s="10"/>
      <c r="B34" s="401"/>
      <c r="C34" s="23" t="s">
        <v>431</v>
      </c>
      <c r="D34" s="91">
        <f>CashFlow!O30</f>
        <v>0</v>
      </c>
      <c r="E34" s="91"/>
      <c r="F34" s="20">
        <f>D34*(100%+$F$6)</f>
        <v>0</v>
      </c>
      <c r="H34" s="17" t="str">
        <f t="shared" si="0"/>
        <v/>
      </c>
      <c r="I34" s="20">
        <f>F34*(100%+$I$6)</f>
        <v>0</v>
      </c>
      <c r="J34" s="17" t="str">
        <f t="shared" si="1"/>
        <v/>
      </c>
    </row>
    <row r="35" spans="1:10" s="9" customFormat="1">
      <c r="A35" s="10"/>
      <c r="B35" s="401"/>
      <c r="C35" s="25"/>
      <c r="D35" s="24"/>
      <c r="E35" s="90"/>
      <c r="F35" s="24"/>
      <c r="G35" s="11"/>
      <c r="H35" s="18" t="str">
        <f t="shared" si="0"/>
        <v/>
      </c>
      <c r="I35" s="24"/>
      <c r="J35" s="17" t="str">
        <f t="shared" si="1"/>
        <v/>
      </c>
    </row>
    <row r="36" spans="1:10" s="9" customFormat="1">
      <c r="A36" s="10"/>
      <c r="B36" s="401"/>
      <c r="C36" s="23" t="s">
        <v>432</v>
      </c>
      <c r="D36" s="91">
        <f>RealEstate[[#Totals],[AMOUNT]]-RealEstate[[#Totals],[YEAR 1]]+Capital[[#Totals],[AMOUNT]]-Capital[[#Totals],[YEAR 1]]</f>
        <v>0</v>
      </c>
      <c r="E36" s="90"/>
      <c r="F36" s="91">
        <f>RealEstate[[#Totals],[YEAR 1]]-RealEstate[[#Totals],[YEAR 2]]+Capital[[#Totals],[YEAR 1]]-Capital[[#Totals],[YEAR 2]]</f>
        <v>0</v>
      </c>
      <c r="H36" s="17" t="str">
        <f t="shared" si="0"/>
        <v/>
      </c>
      <c r="I36" s="91">
        <f>RealEstate[[#Totals],[YEAR 2]]-RealEstate[[#Totals],[YEAR 3]]+Capital[[#Totals],[YEAR 2]]-Capital[[#Totals],[YEAR 3]]</f>
        <v>0</v>
      </c>
      <c r="J36" s="17" t="str">
        <f t="shared" si="1"/>
        <v/>
      </c>
    </row>
    <row r="37" spans="1:10" s="9" customFormat="1">
      <c r="A37" s="10"/>
      <c r="B37" s="401"/>
      <c r="C37" s="22"/>
      <c r="D37" s="24"/>
      <c r="E37" s="90"/>
      <c r="F37" s="24"/>
      <c r="G37" s="11"/>
      <c r="H37" s="18" t="str">
        <f t="shared" si="0"/>
        <v/>
      </c>
      <c r="I37" s="24"/>
      <c r="J37" s="17" t="str">
        <f t="shared" si="1"/>
        <v/>
      </c>
    </row>
    <row r="38" spans="1:10" s="9" customFormat="1">
      <c r="A38" s="10"/>
      <c r="B38" s="401"/>
      <c r="C38" s="23" t="s">
        <v>433</v>
      </c>
      <c r="D38" s="91">
        <f>CashFlow!O33</f>
        <v>0</v>
      </c>
      <c r="E38" s="123"/>
      <c r="F38" s="20">
        <f>D38*(100%+$F$6)</f>
        <v>0</v>
      </c>
      <c r="H38" s="17" t="str">
        <f t="shared" si="0"/>
        <v/>
      </c>
      <c r="I38" s="20">
        <f>F38*(100%+$I$6)</f>
        <v>0</v>
      </c>
      <c r="J38" s="17" t="str">
        <f t="shared" si="1"/>
        <v/>
      </c>
    </row>
    <row r="39" spans="1:10" s="9" customFormat="1">
      <c r="A39" s="10"/>
      <c r="B39" s="401"/>
      <c r="C39" s="22"/>
      <c r="D39" s="24"/>
      <c r="E39" s="125"/>
      <c r="F39" s="24"/>
      <c r="G39" s="11"/>
      <c r="H39" s="18" t="str">
        <f t="shared" si="0"/>
        <v/>
      </c>
      <c r="I39" s="24"/>
      <c r="J39" s="17" t="str">
        <f t="shared" si="1"/>
        <v/>
      </c>
    </row>
    <row r="40" spans="1:10" s="9" customFormat="1">
      <c r="A40" s="10"/>
      <c r="B40" s="401"/>
      <c r="C40" s="23" t="s">
        <v>434</v>
      </c>
      <c r="D40" s="91">
        <f>CashFlow!O34</f>
        <v>0</v>
      </c>
      <c r="E40" s="126"/>
      <c r="F40" s="20">
        <f>D40*(100%+$F$6)</f>
        <v>0</v>
      </c>
      <c r="H40" s="17" t="str">
        <f t="shared" si="0"/>
        <v/>
      </c>
      <c r="I40" s="20">
        <f>F40*(100%+$I$6)</f>
        <v>0</v>
      </c>
      <c r="J40" s="17" t="str">
        <f t="shared" si="1"/>
        <v/>
      </c>
    </row>
    <row r="41" spans="1:10" s="9" customFormat="1">
      <c r="A41" s="10"/>
      <c r="B41" s="401"/>
      <c r="C41" s="22"/>
      <c r="D41" s="94"/>
      <c r="E41" s="125"/>
      <c r="F41" s="94"/>
      <c r="G41" s="11"/>
      <c r="H41" s="18" t="str">
        <f t="shared" si="0"/>
        <v/>
      </c>
      <c r="I41" s="94"/>
      <c r="J41" s="17" t="str">
        <f t="shared" si="1"/>
        <v/>
      </c>
    </row>
    <row r="42" spans="1:10" s="9" customFormat="1">
      <c r="A42" s="10"/>
      <c r="B42" s="401"/>
      <c r="C42" s="26" t="s">
        <v>435</v>
      </c>
      <c r="D42" s="91">
        <f>CashFlow!O32</f>
        <v>0</v>
      </c>
      <c r="E42" s="125"/>
      <c r="F42" s="20">
        <f>D42*(100%+$F$6)</f>
        <v>0</v>
      </c>
      <c r="H42" s="17" t="str">
        <f t="shared" si="0"/>
        <v/>
      </c>
      <c r="I42" s="20">
        <f>F42*(100%+$I$6)</f>
        <v>0</v>
      </c>
      <c r="J42" s="17" t="str">
        <f t="shared" si="1"/>
        <v/>
      </c>
    </row>
    <row r="43" spans="1:10" s="9" customFormat="1">
      <c r="A43" s="10"/>
      <c r="B43" s="401"/>
      <c r="C43" s="22"/>
      <c r="D43" s="94"/>
      <c r="E43" s="125"/>
      <c r="F43" s="94"/>
      <c r="G43" s="11"/>
      <c r="H43" s="18" t="str">
        <f t="shared" si="0"/>
        <v/>
      </c>
      <c r="I43" s="94"/>
      <c r="J43" s="17" t="str">
        <f t="shared" si="1"/>
        <v/>
      </c>
    </row>
    <row r="44" spans="1:10" s="9" customFormat="1">
      <c r="A44" s="10"/>
      <c r="B44" s="401"/>
      <c r="C44" s="427" t="s">
        <v>436</v>
      </c>
      <c r="D44" s="27">
        <f>SUM(D16:D43)</f>
        <v>0</v>
      </c>
      <c r="E44" s="127"/>
      <c r="F44" s="95">
        <f>SUM(F16:F43)</f>
        <v>0</v>
      </c>
      <c r="H44" s="17" t="str">
        <f t="shared" si="0"/>
        <v/>
      </c>
      <c r="I44" s="95">
        <f>SUM(I16:I43)</f>
        <v>0</v>
      </c>
      <c r="J44" s="17" t="str">
        <f t="shared" si="1"/>
        <v/>
      </c>
    </row>
    <row r="45" spans="1:10" s="9" customFormat="1">
      <c r="A45" s="10"/>
      <c r="B45" s="423" t="s">
        <v>437</v>
      </c>
      <c r="C45" s="428" t="s">
        <v>438</v>
      </c>
      <c r="D45" s="429">
        <f>D14-D44</f>
        <v>0</v>
      </c>
      <c r="E45" s="128"/>
      <c r="F45" s="430">
        <f>F14-F44</f>
        <v>0</v>
      </c>
      <c r="H45" s="17" t="str">
        <f t="shared" si="0"/>
        <v/>
      </c>
      <c r="I45" s="430">
        <f>I14-I44</f>
        <v>0</v>
      </c>
      <c r="J45" s="17" t="str">
        <f t="shared" si="1"/>
        <v/>
      </c>
    </row>
    <row r="46" spans="1:10" s="9" customFormat="1" ht="15.75" thickBot="1">
      <c r="A46" s="10"/>
      <c r="B46" s="431"/>
      <c r="C46" s="432"/>
      <c r="D46" s="433"/>
      <c r="E46" s="129"/>
      <c r="F46" s="434"/>
      <c r="G46" s="11"/>
      <c r="H46" s="18" t="str">
        <f t="shared" si="0"/>
        <v/>
      </c>
      <c r="I46" s="434"/>
    </row>
    <row r="47" spans="1:10" s="9" customFormat="1" ht="16.5" thickTop="1" thickBot="1">
      <c r="A47" s="10"/>
      <c r="B47" s="399" t="s">
        <v>439</v>
      </c>
      <c r="C47" s="12"/>
      <c r="D47" s="28" t="s">
        <v>409</v>
      </c>
      <c r="E47" s="130"/>
      <c r="F47" s="29" t="str">
        <f>F7</f>
        <v>Year 2</v>
      </c>
      <c r="G47" s="11"/>
      <c r="H47" s="18"/>
      <c r="I47" s="29" t="str">
        <f>I7</f>
        <v>Year 3</v>
      </c>
    </row>
    <row r="48" spans="1:10" s="9" customFormat="1">
      <c r="A48" s="10"/>
      <c r="B48" s="401"/>
      <c r="C48" s="12"/>
      <c r="D48" s="401"/>
      <c r="E48" s="130"/>
      <c r="F48" s="15"/>
      <c r="G48" s="11"/>
      <c r="H48" s="18" t="str">
        <f t="shared" si="0"/>
        <v/>
      </c>
      <c r="I48" s="15"/>
    </row>
    <row r="49" spans="1:10" s="9" customFormat="1">
      <c r="A49" s="10"/>
      <c r="B49" s="399" t="s">
        <v>440</v>
      </c>
      <c r="C49" s="12"/>
      <c r="D49" s="401"/>
      <c r="E49" s="130"/>
      <c r="F49" s="15"/>
      <c r="G49" s="11"/>
      <c r="H49" s="18" t="str">
        <f t="shared" si="0"/>
        <v/>
      </c>
      <c r="I49" s="15"/>
    </row>
    <row r="50" spans="1:10" s="9" customFormat="1" ht="25.5">
      <c r="A50" s="10"/>
      <c r="B50" s="30" t="s">
        <v>441</v>
      </c>
      <c r="C50" s="31" t="s">
        <v>442</v>
      </c>
      <c r="D50" s="20">
        <v>0</v>
      </c>
      <c r="E50" s="131"/>
      <c r="F50" s="20">
        <f>D50*(100%+$F$6)</f>
        <v>0</v>
      </c>
      <c r="H50" s="17" t="str">
        <f t="shared" si="0"/>
        <v/>
      </c>
      <c r="I50" s="20">
        <f>F50*(100%+$I$6)</f>
        <v>0</v>
      </c>
      <c r="J50" s="17" t="str">
        <f t="shared" ref="J50:J77" si="2">IF(F50&gt;0,(I50-F50)/F50,"")</f>
        <v/>
      </c>
    </row>
    <row r="51" spans="1:10" s="9" customFormat="1">
      <c r="A51" s="10"/>
      <c r="B51" s="401"/>
      <c r="C51" s="32"/>
      <c r="D51" s="33"/>
      <c r="E51" s="131"/>
      <c r="F51" s="24"/>
      <c r="G51" s="11"/>
      <c r="H51" s="18" t="str">
        <f t="shared" si="0"/>
        <v/>
      </c>
      <c r="I51" s="24"/>
      <c r="J51" s="17" t="str">
        <f t="shared" si="2"/>
        <v/>
      </c>
    </row>
    <row r="52" spans="1:10" s="9" customFormat="1">
      <c r="A52" s="10"/>
      <c r="B52" s="30" t="s">
        <v>443</v>
      </c>
      <c r="C52" s="34" t="s">
        <v>444</v>
      </c>
      <c r="D52" s="91">
        <f>CashFlow!O18-'Financial Report'!D10</f>
        <v>0</v>
      </c>
      <c r="E52" s="131"/>
      <c r="F52" s="20">
        <f>D52*(100%+$F$6)</f>
        <v>0</v>
      </c>
      <c r="H52" s="17" t="str">
        <f t="shared" si="0"/>
        <v/>
      </c>
      <c r="I52" s="20">
        <f>F52*(100%+$I$6)</f>
        <v>0</v>
      </c>
      <c r="J52" s="17" t="str">
        <f t="shared" si="2"/>
        <v/>
      </c>
    </row>
    <row r="53" spans="1:10" s="9" customFormat="1">
      <c r="A53" s="10"/>
      <c r="B53" s="401"/>
      <c r="C53" s="32"/>
      <c r="D53" s="33"/>
      <c r="E53" s="131"/>
      <c r="F53" s="24"/>
      <c r="G53" s="11"/>
      <c r="H53" s="18" t="str">
        <f t="shared" si="0"/>
        <v/>
      </c>
      <c r="I53" s="24"/>
      <c r="J53" s="17" t="str">
        <f t="shared" si="2"/>
        <v/>
      </c>
    </row>
    <row r="54" spans="1:10" s="9" customFormat="1">
      <c r="A54" s="10"/>
      <c r="B54" s="30" t="s">
        <v>445</v>
      </c>
      <c r="C54" s="31" t="s">
        <v>446</v>
      </c>
      <c r="D54" s="20">
        <v>0</v>
      </c>
      <c r="E54" s="127"/>
      <c r="F54" s="91">
        <f>D54+F45+F36-D61</f>
        <v>0</v>
      </c>
      <c r="H54" s="17" t="str">
        <f t="shared" si="0"/>
        <v/>
      </c>
      <c r="I54" s="91">
        <f>F54+I45+I36-F61</f>
        <v>0</v>
      </c>
      <c r="J54" s="17" t="str">
        <f t="shared" si="2"/>
        <v/>
      </c>
    </row>
    <row r="55" spans="1:10" s="9" customFormat="1">
      <c r="A55" s="10"/>
      <c r="B55" s="401"/>
      <c r="C55" s="32"/>
      <c r="D55" s="33"/>
      <c r="E55" s="131"/>
      <c r="F55" s="24"/>
      <c r="G55" s="11"/>
      <c r="H55" s="18" t="str">
        <f t="shared" si="0"/>
        <v/>
      </c>
      <c r="I55" s="24"/>
      <c r="J55" s="17" t="str">
        <f t="shared" si="2"/>
        <v/>
      </c>
    </row>
    <row r="56" spans="1:10" s="9" customFormat="1">
      <c r="A56" s="10"/>
      <c r="B56" s="30" t="s">
        <v>447</v>
      </c>
      <c r="C56" s="35" t="s">
        <v>448</v>
      </c>
      <c r="D56" s="20">
        <v>0</v>
      </c>
      <c r="E56" s="127"/>
      <c r="F56" s="20">
        <f>D56*(100%+$F$6)</f>
        <v>0</v>
      </c>
      <c r="H56" s="17" t="str">
        <f t="shared" si="0"/>
        <v/>
      </c>
      <c r="I56" s="20">
        <f>F56*(100%+$I$6)</f>
        <v>0</v>
      </c>
      <c r="J56" s="17" t="str">
        <f t="shared" si="2"/>
        <v/>
      </c>
    </row>
    <row r="57" spans="1:10" s="9" customFormat="1">
      <c r="A57" s="10"/>
      <c r="B57" s="399"/>
      <c r="C57" s="36" t="s">
        <v>449</v>
      </c>
      <c r="D57" s="37">
        <f>SUM(D50:D56)</f>
        <v>0</v>
      </c>
      <c r="E57" s="131"/>
      <c r="F57" s="95">
        <f>SUM(F50:F56)</f>
        <v>0</v>
      </c>
      <c r="H57" s="17" t="str">
        <f t="shared" si="0"/>
        <v/>
      </c>
      <c r="I57" s="95">
        <f>SUM(I50:I56)</f>
        <v>0</v>
      </c>
      <c r="J57" s="17" t="str">
        <f t="shared" si="2"/>
        <v/>
      </c>
    </row>
    <row r="58" spans="1:10" s="9" customFormat="1">
      <c r="A58" s="10"/>
      <c r="B58" s="423" t="s">
        <v>450</v>
      </c>
      <c r="C58" s="435"/>
      <c r="D58" s="436"/>
      <c r="E58" s="131"/>
      <c r="F58" s="437"/>
      <c r="G58" s="11"/>
      <c r="H58" s="18" t="str">
        <f t="shared" si="0"/>
        <v/>
      </c>
      <c r="I58" s="437"/>
      <c r="J58" s="17" t="str">
        <f t="shared" si="2"/>
        <v/>
      </c>
    </row>
    <row r="59" spans="1:10" s="9" customFormat="1">
      <c r="A59" s="10"/>
      <c r="B59" s="30" t="s">
        <v>451</v>
      </c>
      <c r="C59" s="38" t="s">
        <v>452</v>
      </c>
      <c r="D59" s="20">
        <v>0</v>
      </c>
      <c r="E59" s="131"/>
      <c r="F59" s="20">
        <f>D59*(100%+$F$6)</f>
        <v>0</v>
      </c>
      <c r="H59" s="17" t="str">
        <f t="shared" si="0"/>
        <v/>
      </c>
      <c r="I59" s="20">
        <f>F59*(100%+$I$6)</f>
        <v>0</v>
      </c>
      <c r="J59" s="17" t="str">
        <f t="shared" si="2"/>
        <v/>
      </c>
    </row>
    <row r="60" spans="1:10" s="9" customFormat="1">
      <c r="A60" s="10"/>
      <c r="B60" s="401"/>
      <c r="C60" s="22"/>
      <c r="D60" s="39"/>
      <c r="E60" s="131"/>
      <c r="F60" s="24"/>
      <c r="G60" s="11"/>
      <c r="H60" s="18" t="str">
        <f t="shared" si="0"/>
        <v/>
      </c>
      <c r="I60" s="24"/>
      <c r="J60" s="17" t="str">
        <f t="shared" si="2"/>
        <v/>
      </c>
    </row>
    <row r="61" spans="1:10" s="9" customFormat="1">
      <c r="A61" s="10"/>
      <c r="B61" s="30" t="s">
        <v>453</v>
      </c>
      <c r="C61" s="23" t="s">
        <v>454</v>
      </c>
      <c r="D61" s="91">
        <f>IF(BankLoans[[#Totals],[AMOUNT]]=0,0,IF('Startup-Costs'!D84&gt;1,'Startup-Costs'!C84/'Startup-Costs'!D84,0)+IF('Startup-Costs'!D85&gt;1,'Startup-Costs'!C85/'Startup-Costs'!D85,0)+IF('Startup-Costs'!D86&gt;1,'Startup-Costs'!C86/'Startup-Costs'!D86,0)+IF('Startup-Costs'!D87&gt;1,'Startup-Costs'!C87/'Startup-Costs'!D87,0))+IF(OtherLoans[[#Totals],[AMOUNT]]=0,0,IF('Startup-Costs'!D91&gt;1,'Startup-Costs'!C91/'Startup-Costs'!D91,0)+IF('Startup-Costs'!D92&gt;1,'Startup-Costs'!C92/'Startup-Costs'!D92,0))</f>
        <v>0</v>
      </c>
      <c r="E61" s="131"/>
      <c r="F61" s="91">
        <f>IF(BankLoans[[#Totals],[AMOUNT]]=0,0,IF('Startup-Costs'!D84&gt;2,'Startup-Costs'!C84/'Startup-Costs'!D84,0)+IF('Startup-Costs'!D85&gt;2,'Startup-Costs'!C85/'Startup-Costs'!D85,0)+IF('Startup-Costs'!D86&gt;2,'Startup-Costs'!C86/'Startup-Costs'!D86,0)+IF('Startup-Costs'!D87&gt;2,'Startup-Costs'!C87/'Startup-Costs'!D87,0))+IF(OtherLoans[[#Totals],[AMOUNT]]=0,0,IF('Startup-Costs'!D91&gt;2,'Startup-Costs'!C91/'Startup-Costs'!D91,0)+IF('Startup-Costs'!C92&gt;2,'Startup-Costs'!C92/'Startup-Costs'!D92,0))</f>
        <v>0</v>
      </c>
      <c r="H61" s="17" t="str">
        <f t="shared" si="0"/>
        <v/>
      </c>
      <c r="I61" s="91">
        <f>IF(BankLoans[[#Totals],[AMOUNT]]=0,0,IF('Startup-Costs'!D84&gt;3,'Startup-Costs'!C84/'Startup-Costs'!D84,0)+IF('Startup-Costs'!D85&gt;3,'Startup-Costs'!C85/'Startup-Costs'!D85,0)+IF('Startup-Costs'!D86&gt;3,'Startup-Costs'!C86/'Startup-Costs'!D86,0)+IF('Startup-Costs'!D87&gt;3,'Startup-Costs'!C87/'Startup-Costs'!D87,0))+IF(OtherLoans[[#Totals],[AMOUNT]]=0,0,IF('Startup-Costs'!D91&gt;3,'Startup-Costs'!C91/'Startup-Costs'!D91,0)+IF('Startup-Costs'!D92&gt;3,'Startup-Costs'!C92/'Startup-Costs'!D92,0))</f>
        <v>0</v>
      </c>
      <c r="J61" s="17" t="str">
        <f t="shared" si="2"/>
        <v/>
      </c>
    </row>
    <row r="62" spans="1:10" s="9" customFormat="1">
      <c r="A62" s="10"/>
      <c r="B62" s="401"/>
      <c r="C62" s="22"/>
      <c r="D62" s="401"/>
      <c r="E62" s="131"/>
      <c r="F62" s="24"/>
      <c r="G62" s="11"/>
      <c r="H62" s="18" t="str">
        <f t="shared" si="0"/>
        <v/>
      </c>
      <c r="I62" s="24"/>
      <c r="J62" s="17" t="str">
        <f t="shared" si="2"/>
        <v/>
      </c>
    </row>
    <row r="63" spans="1:10" s="9" customFormat="1">
      <c r="A63" s="10"/>
      <c r="B63" s="30" t="s">
        <v>455</v>
      </c>
      <c r="C63" s="23" t="s">
        <v>456</v>
      </c>
      <c r="D63" s="20">
        <v>0</v>
      </c>
      <c r="E63" s="131"/>
      <c r="F63" s="20">
        <f>D63*(100%+$F$6)</f>
        <v>0</v>
      </c>
      <c r="H63" s="17" t="str">
        <f t="shared" si="0"/>
        <v/>
      </c>
      <c r="I63" s="20">
        <f>F63*(100%+$I$6)</f>
        <v>0</v>
      </c>
      <c r="J63" s="17" t="str">
        <f t="shared" si="2"/>
        <v/>
      </c>
    </row>
    <row r="64" spans="1:10" s="9" customFormat="1">
      <c r="A64" s="10"/>
      <c r="B64" s="401"/>
      <c r="C64" s="22"/>
      <c r="D64" s="39"/>
      <c r="E64" s="131"/>
      <c r="F64" s="24"/>
      <c r="G64" s="11"/>
      <c r="H64" s="18" t="str">
        <f t="shared" si="0"/>
        <v/>
      </c>
      <c r="I64" s="24"/>
      <c r="J64" s="17" t="str">
        <f t="shared" si="2"/>
        <v/>
      </c>
    </row>
    <row r="65" spans="1:10" s="9" customFormat="1">
      <c r="A65" s="10"/>
      <c r="B65" s="30" t="s">
        <v>457</v>
      </c>
      <c r="C65" s="23" t="s">
        <v>458</v>
      </c>
      <c r="D65" s="20">
        <v>0</v>
      </c>
      <c r="E65" s="131"/>
      <c r="F65" s="20">
        <f>D65*(100%+$F$6)</f>
        <v>0</v>
      </c>
      <c r="G65" s="40"/>
      <c r="H65" s="17" t="str">
        <f t="shared" si="0"/>
        <v/>
      </c>
      <c r="I65" s="20">
        <f>F65*(100%+$I$6)</f>
        <v>0</v>
      </c>
      <c r="J65" s="17" t="str">
        <f t="shared" si="2"/>
        <v/>
      </c>
    </row>
    <row r="66" spans="1:10" s="9" customFormat="1">
      <c r="A66" s="10"/>
      <c r="B66" s="401"/>
      <c r="C66" s="22"/>
      <c r="D66" s="39"/>
      <c r="E66" s="131"/>
      <c r="F66" s="24"/>
      <c r="G66" s="11"/>
      <c r="H66" s="18" t="str">
        <f t="shared" si="0"/>
        <v/>
      </c>
      <c r="I66" s="24"/>
      <c r="J66" s="17" t="str">
        <f t="shared" si="2"/>
        <v/>
      </c>
    </row>
    <row r="67" spans="1:10" s="9" customFormat="1">
      <c r="A67" s="10"/>
      <c r="B67" s="30" t="s">
        <v>459</v>
      </c>
      <c r="C67" s="23" t="s">
        <v>460</v>
      </c>
      <c r="D67" s="20">
        <v>0</v>
      </c>
      <c r="E67" s="131"/>
      <c r="F67" s="20">
        <f>D67*(100%+$F$6)</f>
        <v>0</v>
      </c>
      <c r="H67" s="17" t="str">
        <f t="shared" si="0"/>
        <v/>
      </c>
      <c r="I67" s="20">
        <f>F67*(100%+$I$6)</f>
        <v>0</v>
      </c>
      <c r="J67" s="17" t="str">
        <f t="shared" si="2"/>
        <v/>
      </c>
    </row>
    <row r="68" spans="1:10" s="9" customFormat="1">
      <c r="A68" s="10"/>
      <c r="B68" s="399"/>
      <c r="C68" s="41" t="s">
        <v>461</v>
      </c>
      <c r="D68" s="42">
        <f>SUM(D59:D67)</f>
        <v>0</v>
      </c>
      <c r="E68" s="124"/>
      <c r="F68" s="96">
        <f>SUM(F59:F67)</f>
        <v>0</v>
      </c>
      <c r="H68" s="17" t="str">
        <f t="shared" si="0"/>
        <v/>
      </c>
      <c r="I68" s="96">
        <f>SUM(I59:I67)</f>
        <v>0</v>
      </c>
      <c r="J68" s="17" t="str">
        <f t="shared" si="2"/>
        <v/>
      </c>
    </row>
    <row r="69" spans="1:10" s="9" customFormat="1" ht="15.75" thickBot="1">
      <c r="A69" s="10"/>
      <c r="B69" s="399"/>
      <c r="C69" s="41"/>
      <c r="D69" s="27"/>
      <c r="E69" s="132"/>
      <c r="F69" s="43"/>
      <c r="G69" s="11"/>
      <c r="H69" s="18" t="str">
        <f t="shared" si="0"/>
        <v/>
      </c>
      <c r="I69" s="114"/>
      <c r="J69" s="116" t="str">
        <f t="shared" si="2"/>
        <v/>
      </c>
    </row>
    <row r="70" spans="1:10" s="9" customFormat="1" ht="15.75" thickTop="1">
      <c r="A70" s="10"/>
      <c r="B70" s="401"/>
      <c r="C70" s="44" t="s">
        <v>462</v>
      </c>
      <c r="D70" s="45">
        <f>SUM(D57-D68)</f>
        <v>0</v>
      </c>
      <c r="E70" s="133"/>
      <c r="F70" s="45">
        <f>SUM(F57-F68)</f>
        <v>0</v>
      </c>
      <c r="H70" s="17" t="str">
        <f t="shared" si="0"/>
        <v/>
      </c>
      <c r="I70" s="45">
        <f>SUM(I57-I68)</f>
        <v>0</v>
      </c>
      <c r="J70" s="17" t="str">
        <f t="shared" si="2"/>
        <v/>
      </c>
    </row>
    <row r="71" spans="1:10" s="9" customFormat="1">
      <c r="A71" s="10"/>
      <c r="B71" s="438"/>
      <c r="C71" s="439"/>
      <c r="D71" s="405"/>
      <c r="E71" s="400"/>
      <c r="F71" s="405"/>
      <c r="G71" s="11"/>
      <c r="H71" s="117" t="str">
        <f t="shared" si="0"/>
        <v/>
      </c>
      <c r="I71" s="405"/>
      <c r="J71" s="17" t="str">
        <f t="shared" si="2"/>
        <v/>
      </c>
    </row>
    <row r="72" spans="1:10" s="9" customFormat="1">
      <c r="A72" s="10"/>
      <c r="B72" s="399" t="s">
        <v>463</v>
      </c>
      <c r="C72" s="440"/>
      <c r="D72" s="46"/>
      <c r="E72" s="134"/>
      <c r="F72" s="46"/>
      <c r="G72" s="11"/>
      <c r="H72" s="18" t="str">
        <f t="shared" si="0"/>
        <v/>
      </c>
      <c r="I72" s="46"/>
      <c r="J72" s="17" t="str">
        <f t="shared" si="2"/>
        <v/>
      </c>
    </row>
    <row r="73" spans="1:10" s="9" customFormat="1">
      <c r="A73" s="10"/>
      <c r="B73" s="47" t="s">
        <v>464</v>
      </c>
      <c r="C73" s="48" t="s">
        <v>465</v>
      </c>
      <c r="D73" s="91">
        <f>RealEstate[[#Totals],[YEAR 1]]</f>
        <v>0</v>
      </c>
      <c r="E73" s="135"/>
      <c r="F73" s="91">
        <f>RealEstate[[#Totals],[YEAR 2]]</f>
        <v>0</v>
      </c>
      <c r="H73" s="17" t="str">
        <f t="shared" si="0"/>
        <v/>
      </c>
      <c r="I73" s="91">
        <f>RealEstate[[#Totals],[YEAR 3]]</f>
        <v>0</v>
      </c>
      <c r="J73" s="17" t="str">
        <f t="shared" si="2"/>
        <v/>
      </c>
    </row>
    <row r="74" spans="1:10" s="9" customFormat="1">
      <c r="A74" s="10"/>
      <c r="B74" s="401"/>
      <c r="C74" s="49"/>
      <c r="D74" s="50"/>
      <c r="E74" s="15"/>
      <c r="F74" s="50"/>
      <c r="G74" s="11"/>
      <c r="H74" s="18" t="str">
        <f t="shared" si="0"/>
        <v/>
      </c>
      <c r="I74" s="50"/>
      <c r="J74" s="17" t="str">
        <f t="shared" si="2"/>
        <v/>
      </c>
    </row>
    <row r="75" spans="1:10" s="9" customFormat="1">
      <c r="A75" s="10"/>
      <c r="B75" s="47" t="s">
        <v>466</v>
      </c>
      <c r="C75" s="51" t="s">
        <v>467</v>
      </c>
      <c r="D75" s="91">
        <f>'Startup-Costs'!E21+'Startup-Costs'!E22+'Startup-Costs'!E23</f>
        <v>0</v>
      </c>
      <c r="E75" s="134"/>
      <c r="F75" s="91">
        <f>'Startup-Costs'!F21+'Startup-Costs'!F22+'Startup-Costs'!F23</f>
        <v>0</v>
      </c>
      <c r="H75" s="17" t="str">
        <f t="shared" si="0"/>
        <v/>
      </c>
      <c r="I75" s="91">
        <f>'Startup-Costs'!G21+'Startup-Costs'!G22+'Startup-Costs'!G23</f>
        <v>0</v>
      </c>
      <c r="J75" s="17" t="str">
        <f t="shared" si="2"/>
        <v/>
      </c>
    </row>
    <row r="76" spans="1:10" s="9" customFormat="1">
      <c r="A76" s="10"/>
      <c r="B76" s="401"/>
      <c r="C76" s="441"/>
      <c r="D76" s="46"/>
      <c r="E76" s="134"/>
      <c r="F76" s="46"/>
      <c r="G76" s="11"/>
      <c r="H76" s="18" t="str">
        <f t="shared" ref="H76:H96" si="3">IF(D76&gt;0,(F76-D76)/D76,"")</f>
        <v/>
      </c>
      <c r="I76" s="46"/>
      <c r="J76" s="17" t="str">
        <f t="shared" si="2"/>
        <v/>
      </c>
    </row>
    <row r="77" spans="1:10" s="9" customFormat="1">
      <c r="A77" s="10"/>
      <c r="B77" s="52" t="s">
        <v>468</v>
      </c>
      <c r="C77" s="48" t="s">
        <v>469</v>
      </c>
      <c r="D77" s="91">
        <f>'Startup-Costs'!E24+'Startup-Costs'!E25</f>
        <v>0</v>
      </c>
      <c r="E77" s="135"/>
      <c r="F77" s="91">
        <f>'Startup-Costs'!F24+'Startup-Costs'!F25</f>
        <v>0</v>
      </c>
      <c r="H77" s="17" t="str">
        <f t="shared" si="3"/>
        <v/>
      </c>
      <c r="I77" s="91">
        <f>'Startup-Costs'!G24+'Startup-Costs'!G25</f>
        <v>0</v>
      </c>
      <c r="J77" s="17" t="str">
        <f t="shared" si="2"/>
        <v/>
      </c>
    </row>
    <row r="78" spans="1:10" s="9" customFormat="1">
      <c r="A78" s="10"/>
      <c r="B78" s="12"/>
      <c r="C78" s="53" t="s">
        <v>470</v>
      </c>
      <c r="D78" s="54">
        <f>SUM(D73:D77)</f>
        <v>0</v>
      </c>
      <c r="E78" s="12"/>
      <c r="F78" s="54">
        <f>SUM(F73:F77)</f>
        <v>0</v>
      </c>
      <c r="G78" s="11"/>
      <c r="H78" s="18" t="str">
        <f t="shared" si="3"/>
        <v/>
      </c>
      <c r="I78" s="54">
        <f>SUM(I73:I77)</f>
        <v>0</v>
      </c>
    </row>
    <row r="79" spans="1:10" s="9" customFormat="1">
      <c r="A79" s="10"/>
      <c r="B79" s="12"/>
      <c r="C79" s="53"/>
      <c r="D79" s="54"/>
      <c r="E79" s="12"/>
      <c r="F79" s="54"/>
      <c r="G79" s="11"/>
      <c r="H79" s="18" t="str">
        <f t="shared" si="3"/>
        <v/>
      </c>
      <c r="I79" s="54"/>
    </row>
    <row r="80" spans="1:10" s="9" customFormat="1">
      <c r="A80" s="10"/>
      <c r="B80" s="6" t="s">
        <v>471</v>
      </c>
      <c r="C80" s="53"/>
      <c r="D80" s="55"/>
      <c r="E80" s="136"/>
      <c r="F80" s="54"/>
      <c r="G80" s="11"/>
      <c r="H80" s="18" t="str">
        <f t="shared" si="3"/>
        <v/>
      </c>
      <c r="I80" s="54"/>
    </row>
    <row r="81" spans="1:12" s="9" customFormat="1">
      <c r="A81" s="10"/>
      <c r="B81" s="56" t="s">
        <v>472</v>
      </c>
      <c r="C81" s="57" t="s">
        <v>473</v>
      </c>
      <c r="D81" s="91">
        <f>BankLoans[[#Totals],[Year 1]]+OtherLoans[[#Totals],[Year 1]]-'Financial Report'!D61</f>
        <v>0</v>
      </c>
      <c r="E81" s="91">
        <v>78000</v>
      </c>
      <c r="F81" s="91">
        <f>MAX(D81-F61,0)</f>
        <v>0</v>
      </c>
      <c r="H81" s="17" t="str">
        <f t="shared" si="3"/>
        <v/>
      </c>
      <c r="I81" s="91">
        <f>MAX(F81-I61,0)</f>
        <v>0</v>
      </c>
      <c r="J81" s="17" t="str">
        <f t="shared" ref="J81:J85" si="4">IF(F81&gt;0,(I81-F81)/F81,"")</f>
        <v/>
      </c>
    </row>
    <row r="82" spans="1:12" s="9" customFormat="1" ht="7.5" customHeight="1">
      <c r="A82" s="10"/>
      <c r="B82" s="56"/>
      <c r="C82" s="58"/>
      <c r="D82" s="24"/>
      <c r="E82" s="24"/>
      <c r="F82" s="24"/>
      <c r="G82" s="11"/>
      <c r="H82" s="18" t="str">
        <f t="shared" si="3"/>
        <v/>
      </c>
      <c r="I82" s="24"/>
      <c r="J82" s="17" t="str">
        <f t="shared" si="4"/>
        <v/>
      </c>
    </row>
    <row r="83" spans="1:12" s="9" customFormat="1">
      <c r="A83" s="10"/>
      <c r="B83" s="56" t="s">
        <v>474</v>
      </c>
      <c r="C83" s="59" t="s">
        <v>475</v>
      </c>
      <c r="D83" s="20">
        <v>0</v>
      </c>
      <c r="E83" s="91"/>
      <c r="F83" s="20">
        <f>D83*(100%+$F$6)</f>
        <v>0</v>
      </c>
      <c r="H83" s="17" t="str">
        <f t="shared" si="3"/>
        <v/>
      </c>
      <c r="I83" s="20">
        <f>F83*(100%+$I$6)</f>
        <v>0</v>
      </c>
      <c r="J83" s="17" t="str">
        <f t="shared" si="4"/>
        <v/>
      </c>
    </row>
    <row r="84" spans="1:12" s="9" customFormat="1" ht="7.5" customHeight="1">
      <c r="A84" s="10"/>
      <c r="B84" s="56"/>
      <c r="C84" s="58"/>
      <c r="D84" s="24"/>
      <c r="E84" s="24"/>
      <c r="F84" s="24"/>
      <c r="G84" s="11"/>
      <c r="H84" s="18" t="str">
        <f t="shared" si="3"/>
        <v/>
      </c>
      <c r="I84" s="24"/>
      <c r="J84" s="17" t="str">
        <f t="shared" si="4"/>
        <v/>
      </c>
    </row>
    <row r="85" spans="1:12" s="9" customFormat="1">
      <c r="A85" s="10"/>
      <c r="B85" s="56" t="s">
        <v>476</v>
      </c>
      <c r="C85" s="57" t="s">
        <v>477</v>
      </c>
      <c r="D85" s="20">
        <v>0</v>
      </c>
      <c r="E85" s="91"/>
      <c r="F85" s="20">
        <f>D85*(100%+$F$6)</f>
        <v>0</v>
      </c>
      <c r="H85" s="17" t="str">
        <f t="shared" si="3"/>
        <v/>
      </c>
      <c r="I85" s="20">
        <f>F85*(100%+$I$6)</f>
        <v>0</v>
      </c>
      <c r="J85" s="17" t="str">
        <f t="shared" si="4"/>
        <v/>
      </c>
    </row>
    <row r="86" spans="1:12" s="9" customFormat="1">
      <c r="A86" s="10"/>
      <c r="B86" s="12"/>
      <c r="C86" s="53" t="s">
        <v>478</v>
      </c>
      <c r="D86" s="54">
        <f>SUM(D81:D85)</f>
        <v>0</v>
      </c>
      <c r="E86" s="12"/>
      <c r="F86" s="54">
        <f>SUM(F81:F85)</f>
        <v>0</v>
      </c>
      <c r="G86" s="11"/>
      <c r="H86" s="18" t="str">
        <f t="shared" si="3"/>
        <v/>
      </c>
      <c r="I86" s="54">
        <f>SUM(I81:I85)</f>
        <v>0</v>
      </c>
    </row>
    <row r="87" spans="1:12" s="9" customFormat="1" ht="6.75" customHeight="1">
      <c r="A87" s="10"/>
      <c r="B87" s="12"/>
      <c r="C87" s="53"/>
      <c r="D87" s="54"/>
      <c r="E87" s="12"/>
      <c r="F87" s="54"/>
      <c r="G87" s="11"/>
      <c r="H87" s="18"/>
      <c r="I87" s="54"/>
    </row>
    <row r="88" spans="1:12" s="9" customFormat="1" hidden="1">
      <c r="A88" s="10"/>
      <c r="B88" s="12"/>
      <c r="C88" s="216" t="s">
        <v>479</v>
      </c>
      <c r="D88" s="217">
        <f>SUM(D70+D78-D86)+D87</f>
        <v>0</v>
      </c>
      <c r="E88" s="218"/>
      <c r="F88" s="217">
        <f>SUM(F70+F78-F86)</f>
        <v>0</v>
      </c>
      <c r="G88" s="219"/>
      <c r="H88" s="220" t="str">
        <f t="shared" si="3"/>
        <v/>
      </c>
      <c r="I88" s="217">
        <f>SUM(I70+I78-I86)</f>
        <v>0</v>
      </c>
      <c r="J88" s="221" t="s">
        <v>480</v>
      </c>
      <c r="L88" s="210"/>
    </row>
    <row r="89" spans="1:12" s="9" customFormat="1" ht="13.5" customHeight="1">
      <c r="A89" s="10"/>
      <c r="B89" s="12"/>
      <c r="C89" s="53" t="s">
        <v>481</v>
      </c>
      <c r="D89" s="54">
        <f>'Startup-Costs'!C98</f>
        <v>0</v>
      </c>
      <c r="E89" s="12"/>
      <c r="F89" s="54">
        <f>D89</f>
        <v>0</v>
      </c>
      <c r="G89" s="11"/>
      <c r="H89" s="18" t="str">
        <f t="shared" si="3"/>
        <v/>
      </c>
      <c r="I89" s="54">
        <f>D89</f>
        <v>0</v>
      </c>
      <c r="J89" s="18" t="str">
        <f>IF(F89&gt;0,(I89-F89)/F89,"")</f>
        <v/>
      </c>
    </row>
    <row r="90" spans="1:12" s="9" customFormat="1" ht="13.5" customHeight="1">
      <c r="A90" s="10"/>
      <c r="B90" s="12"/>
      <c r="C90" s="211" t="s">
        <v>482</v>
      </c>
      <c r="D90" s="212">
        <f>D45</f>
        <v>0</v>
      </c>
      <c r="E90" s="213"/>
      <c r="F90" s="212">
        <f>D90+F45</f>
        <v>0</v>
      </c>
      <c r="G90" s="214"/>
      <c r="H90" s="215" t="str">
        <f t="shared" si="3"/>
        <v/>
      </c>
      <c r="I90" s="212">
        <f>D90+F45+I45</f>
        <v>0</v>
      </c>
      <c r="J90" s="215" t="str">
        <f t="shared" ref="J90:J91" si="5">IF(F90&gt;0,(I90-F90)/F90,"")</f>
        <v/>
      </c>
    </row>
    <row r="91" spans="1:12" s="9" customFormat="1" ht="15" customHeight="1" thickBot="1">
      <c r="A91" s="10"/>
      <c r="B91" s="12"/>
      <c r="C91" s="53" t="s">
        <v>483</v>
      </c>
      <c r="D91" s="54">
        <f>D89+D90</f>
        <v>0</v>
      </c>
      <c r="E91" s="12"/>
      <c r="F91" s="54">
        <f>F89+F90</f>
        <v>0</v>
      </c>
      <c r="G91" s="11"/>
      <c r="H91" s="18" t="str">
        <f t="shared" si="3"/>
        <v/>
      </c>
      <c r="I91" s="54">
        <f>I89+I90</f>
        <v>0</v>
      </c>
      <c r="J91" s="18" t="str">
        <f t="shared" si="5"/>
        <v/>
      </c>
    </row>
    <row r="92" spans="1:12" s="9" customFormat="1" ht="15.75" thickTop="1">
      <c r="A92" s="10"/>
      <c r="B92" s="60"/>
      <c r="C92" s="61"/>
      <c r="D92" s="62"/>
      <c r="E92" s="63"/>
      <c r="F92" s="64"/>
      <c r="G92" s="11"/>
      <c r="H92" s="65" t="str">
        <f t="shared" si="3"/>
        <v/>
      </c>
      <c r="I92" s="64"/>
    </row>
    <row r="93" spans="1:12" s="9" customFormat="1" ht="25.5">
      <c r="A93" s="10"/>
      <c r="B93" s="66"/>
      <c r="C93" s="53"/>
      <c r="D93" s="54"/>
      <c r="E93" s="12"/>
      <c r="F93" s="118" t="s">
        <v>484</v>
      </c>
      <c r="G93" s="11"/>
      <c r="H93" s="67" t="s">
        <v>413</v>
      </c>
      <c r="I93" s="118" t="s">
        <v>484</v>
      </c>
    </row>
    <row r="94" spans="1:12" s="9" customFormat="1" ht="15.75">
      <c r="A94" s="68" t="s">
        <v>485</v>
      </c>
      <c r="B94" s="66"/>
      <c r="C94" s="53" t="s">
        <v>486</v>
      </c>
      <c r="D94" s="69">
        <f>IF(D32=0, 100,SUM(D45+D42+D32)/D32)</f>
        <v>100</v>
      </c>
      <c r="E94" s="12"/>
      <c r="F94" s="70">
        <f>IF(F32=0,100,SUM(F45+F42+F32)/F32)</f>
        <v>100</v>
      </c>
      <c r="G94" s="11"/>
      <c r="H94" s="71">
        <f t="shared" si="3"/>
        <v>0</v>
      </c>
      <c r="I94" s="70">
        <f>IF(I32=0,100,SUM(I45+I42+I32)/I32)</f>
        <v>100</v>
      </c>
    </row>
    <row r="95" spans="1:12" s="9" customFormat="1" ht="15.75">
      <c r="A95" s="68"/>
      <c r="B95" s="66"/>
      <c r="C95" s="53" t="s">
        <v>487</v>
      </c>
      <c r="D95" s="69">
        <f>IF(D68=0,100,SUM(D57/D68))</f>
        <v>100</v>
      </c>
      <c r="E95" s="12"/>
      <c r="F95" s="70">
        <f>IF(F68=0,100,SUM(F57/F68))</f>
        <v>100</v>
      </c>
      <c r="G95" s="11"/>
      <c r="H95" s="71">
        <f t="shared" si="3"/>
        <v>0</v>
      </c>
      <c r="I95" s="70">
        <f>IF(I68=0,100,SUM(I57/I68))</f>
        <v>100</v>
      </c>
    </row>
    <row r="96" spans="1:12" s="9" customFormat="1">
      <c r="A96" s="10"/>
      <c r="B96" s="66"/>
      <c r="C96" s="242" t="s">
        <v>488</v>
      </c>
      <c r="D96" s="69">
        <f>IF(D88=0,100,SUM(D86+D68)/D88)</f>
        <v>100</v>
      </c>
      <c r="E96" s="12"/>
      <c r="F96" s="70">
        <f>IF(F88=0,100,SUM(F86+F68)/F88)</f>
        <v>100</v>
      </c>
      <c r="G96" s="11"/>
      <c r="H96" s="71">
        <f t="shared" si="3"/>
        <v>0</v>
      </c>
      <c r="I96" s="70">
        <f>IF(I88=0,100,SUM(I86+I68)/I88)</f>
        <v>100</v>
      </c>
    </row>
    <row r="97" spans="1:12" s="9" customFormat="1" ht="15.75" thickBot="1">
      <c r="A97" s="10"/>
      <c r="B97" s="72"/>
      <c r="C97" s="73" t="s">
        <v>489</v>
      </c>
      <c r="D97" s="241">
        <f>CashFlow!C49</f>
        <v>0</v>
      </c>
      <c r="E97" s="74"/>
      <c r="F97" s="75"/>
      <c r="G97" s="11"/>
      <c r="H97" s="76"/>
      <c r="I97" s="75"/>
    </row>
    <row r="98" spans="1:12" s="9" customFormat="1" ht="0.75" customHeight="1" thickTop="1" thickBot="1">
      <c r="A98" s="77"/>
      <c r="B98" s="78"/>
      <c r="C98" s="78"/>
      <c r="D98" s="78"/>
      <c r="E98" s="78"/>
      <c r="F98" s="78"/>
      <c r="G98" s="79"/>
      <c r="H98" s="8"/>
      <c r="I98" s="78"/>
    </row>
    <row r="99" spans="1:12" s="9" customFormat="1">
      <c r="B99" s="25"/>
      <c r="C99" s="25"/>
      <c r="D99" s="25"/>
      <c r="E99" s="25"/>
      <c r="F99" s="25"/>
      <c r="H99" s="8"/>
      <c r="I99" s="25"/>
    </row>
    <row r="100" spans="1:12" s="9" customFormat="1" ht="18.75">
      <c r="B100" s="25"/>
      <c r="C100" s="25"/>
      <c r="D100" s="25"/>
      <c r="E100" s="25"/>
      <c r="F100" s="25"/>
      <c r="H100" s="8"/>
      <c r="I100" s="25"/>
      <c r="J100" s="606" t="s">
        <v>25</v>
      </c>
      <c r="K100" s="715"/>
      <c r="L100" s="607"/>
    </row>
    <row r="101" spans="1:12" s="9" customFormat="1">
      <c r="B101" s="25"/>
      <c r="C101" s="25"/>
      <c r="D101" s="25"/>
      <c r="E101" s="25"/>
      <c r="F101" s="25"/>
      <c r="H101" s="8"/>
      <c r="I101" s="25"/>
    </row>
    <row r="102" spans="1:12" s="9" customFormat="1">
      <c r="B102" s="25"/>
      <c r="C102" s="25"/>
      <c r="D102" s="25"/>
      <c r="E102" s="25"/>
      <c r="F102" s="25"/>
      <c r="H102" s="8"/>
      <c r="I102" s="25"/>
    </row>
    <row r="103" spans="1:12" s="9" customFormat="1">
      <c r="B103" s="25"/>
      <c r="C103" s="25"/>
      <c r="D103" s="25"/>
      <c r="E103" s="25"/>
      <c r="F103" s="25"/>
      <c r="H103" s="8"/>
      <c r="I103" s="25"/>
    </row>
    <row r="104" spans="1:12" s="9" customFormat="1">
      <c r="B104" s="25"/>
      <c r="C104" s="25"/>
      <c r="D104" s="25"/>
      <c r="E104" s="25"/>
      <c r="F104" s="25"/>
      <c r="H104" s="8"/>
      <c r="I104" s="25"/>
    </row>
    <row r="105" spans="1:12" s="9" customFormat="1">
      <c r="B105" s="25"/>
      <c r="C105" s="25"/>
      <c r="D105" s="25"/>
      <c r="E105" s="25"/>
      <c r="F105" s="25"/>
      <c r="H105" s="8"/>
      <c r="I105" s="25"/>
    </row>
    <row r="106" spans="1:12" s="9" customFormat="1">
      <c r="B106" s="25"/>
      <c r="C106" s="25"/>
      <c r="D106" s="25"/>
      <c r="E106" s="25"/>
      <c r="F106" s="25"/>
      <c r="H106" s="8"/>
      <c r="I106" s="25"/>
    </row>
    <row r="107" spans="1:12" s="9" customFormat="1">
      <c r="B107" s="25"/>
      <c r="C107" s="25"/>
      <c r="D107" s="25"/>
      <c r="E107" s="25"/>
      <c r="F107" s="25"/>
      <c r="H107" s="8"/>
      <c r="I107" s="25"/>
    </row>
    <row r="108" spans="1:12" s="9" customFormat="1">
      <c r="B108" s="25"/>
      <c r="C108" s="25"/>
      <c r="D108" s="25"/>
      <c r="E108" s="25"/>
      <c r="F108" s="25"/>
      <c r="H108" s="8"/>
      <c r="I108" s="25"/>
    </row>
    <row r="109" spans="1:12" s="9" customFormat="1">
      <c r="B109" s="25"/>
      <c r="C109" s="25"/>
      <c r="D109" s="25"/>
      <c r="E109" s="25"/>
      <c r="F109" s="25"/>
      <c r="H109" s="8"/>
      <c r="I109" s="25"/>
    </row>
    <row r="110" spans="1:12" s="9" customFormat="1">
      <c r="B110" s="25"/>
      <c r="C110" s="25"/>
      <c r="D110" s="25"/>
      <c r="E110" s="25"/>
      <c r="F110" s="25"/>
      <c r="H110" s="8"/>
      <c r="I110" s="25"/>
    </row>
    <row r="111" spans="1:12" s="9" customFormat="1">
      <c r="B111" s="25"/>
      <c r="C111" s="25"/>
      <c r="D111" s="25"/>
      <c r="E111" s="25"/>
      <c r="F111" s="25"/>
      <c r="H111" s="8"/>
      <c r="I111" s="25"/>
    </row>
    <row r="112" spans="1:12" s="9" customFormat="1">
      <c r="B112" s="25"/>
      <c r="C112" s="25"/>
      <c r="D112" s="25"/>
      <c r="E112" s="25"/>
      <c r="F112" s="25"/>
      <c r="H112" s="8"/>
      <c r="I112" s="25"/>
    </row>
    <row r="113" spans="2:9" s="9" customFormat="1">
      <c r="B113" s="25"/>
      <c r="C113" s="25"/>
      <c r="D113" s="25"/>
      <c r="E113" s="25"/>
      <c r="F113" s="25"/>
      <c r="H113" s="8"/>
      <c r="I113" s="25"/>
    </row>
    <row r="114" spans="2:9" s="9" customFormat="1">
      <c r="B114" s="25"/>
      <c r="C114" s="25"/>
      <c r="D114" s="25"/>
      <c r="E114" s="25"/>
      <c r="F114" s="25"/>
      <c r="H114" s="8"/>
      <c r="I114" s="25"/>
    </row>
    <row r="115" spans="2:9" s="9" customFormat="1">
      <c r="B115" s="25"/>
      <c r="C115" s="25"/>
      <c r="D115" s="25"/>
      <c r="E115" s="25"/>
      <c r="F115" s="25"/>
      <c r="H115" s="8"/>
      <c r="I115" s="25"/>
    </row>
    <row r="116" spans="2:9" s="9" customFormat="1">
      <c r="B116" s="25"/>
      <c r="C116" s="25"/>
      <c r="D116" s="25"/>
      <c r="E116" s="25"/>
      <c r="F116" s="25"/>
      <c r="H116" s="8"/>
      <c r="I116" s="25"/>
    </row>
    <row r="117" spans="2:9" s="9" customFormat="1">
      <c r="B117" s="25"/>
      <c r="C117" s="25"/>
      <c r="D117" s="25"/>
      <c r="E117" s="25"/>
      <c r="F117" s="25"/>
      <c r="H117" s="8"/>
      <c r="I117" s="25"/>
    </row>
    <row r="118" spans="2:9" s="9" customFormat="1">
      <c r="B118" s="25"/>
      <c r="C118" s="25"/>
      <c r="D118" s="25"/>
      <c r="E118" s="25"/>
      <c r="F118" s="25"/>
      <c r="H118" s="8"/>
      <c r="I118" s="25"/>
    </row>
    <row r="119" spans="2:9" s="9" customFormat="1">
      <c r="B119" s="25"/>
      <c r="C119" s="25"/>
      <c r="D119" s="25"/>
      <c r="E119" s="25"/>
      <c r="F119" s="25"/>
      <c r="H119" s="8"/>
      <c r="I119" s="25"/>
    </row>
    <row r="120" spans="2:9" s="9" customFormat="1">
      <c r="B120" s="25"/>
      <c r="C120" s="25"/>
      <c r="D120" s="25"/>
      <c r="E120" s="25"/>
      <c r="F120" s="25"/>
      <c r="H120" s="8"/>
      <c r="I120" s="25"/>
    </row>
    <row r="121" spans="2:9" s="9" customFormat="1">
      <c r="B121" s="25"/>
      <c r="C121" s="25"/>
      <c r="D121" s="25"/>
      <c r="E121" s="25"/>
      <c r="F121" s="25"/>
      <c r="H121" s="8"/>
      <c r="I121" s="25"/>
    </row>
    <row r="122" spans="2:9" s="9" customFormat="1">
      <c r="B122" s="25"/>
      <c r="C122" s="25"/>
      <c r="D122" s="25"/>
      <c r="E122" s="25"/>
      <c r="F122" s="25"/>
      <c r="H122" s="8"/>
      <c r="I122" s="25"/>
    </row>
    <row r="123" spans="2:9" s="9" customFormat="1">
      <c r="B123" s="25"/>
      <c r="C123" s="25"/>
      <c r="D123" s="25"/>
      <c r="E123" s="25"/>
      <c r="F123" s="25"/>
      <c r="H123" s="8"/>
      <c r="I123" s="25"/>
    </row>
    <row r="124" spans="2:9" s="9" customFormat="1">
      <c r="B124" s="25"/>
      <c r="C124" s="25"/>
      <c r="D124" s="25"/>
      <c r="E124" s="25"/>
      <c r="F124" s="25"/>
      <c r="H124" s="8"/>
      <c r="I124" s="25"/>
    </row>
    <row r="125" spans="2:9" s="9" customFormat="1">
      <c r="B125" s="25"/>
      <c r="C125" s="25"/>
      <c r="D125" s="25"/>
      <c r="E125" s="25"/>
      <c r="F125" s="25"/>
      <c r="H125" s="8"/>
      <c r="I125" s="25"/>
    </row>
    <row r="126" spans="2:9" s="9" customFormat="1">
      <c r="B126" s="25"/>
      <c r="C126" s="25"/>
      <c r="D126" s="25"/>
      <c r="E126" s="25"/>
      <c r="F126" s="25"/>
      <c r="H126" s="8"/>
      <c r="I126" s="25"/>
    </row>
    <row r="127" spans="2:9" s="9" customFormat="1">
      <c r="B127" s="25"/>
      <c r="C127" s="25"/>
      <c r="D127" s="25"/>
      <c r="E127" s="25"/>
      <c r="F127" s="25"/>
      <c r="H127" s="8"/>
      <c r="I127" s="25"/>
    </row>
    <row r="128" spans="2:9" s="9" customFormat="1">
      <c r="B128" s="25"/>
      <c r="C128" s="25"/>
      <c r="D128" s="25"/>
      <c r="E128" s="25"/>
      <c r="F128" s="25"/>
      <c r="H128" s="8"/>
      <c r="I128" s="25"/>
    </row>
    <row r="129" spans="2:9" s="9" customFormat="1">
      <c r="B129" s="25"/>
      <c r="C129" s="25"/>
      <c r="D129" s="25"/>
      <c r="E129" s="25"/>
      <c r="F129" s="25"/>
      <c r="H129" s="8"/>
      <c r="I129" s="25"/>
    </row>
    <row r="130" spans="2:9" s="9" customFormat="1">
      <c r="B130" s="25"/>
      <c r="C130" s="25"/>
      <c r="D130" s="25"/>
      <c r="E130" s="25"/>
      <c r="F130" s="25"/>
      <c r="H130" s="8"/>
      <c r="I130" s="25"/>
    </row>
    <row r="131" spans="2:9" s="9" customFormat="1">
      <c r="B131" s="25"/>
      <c r="C131" s="25"/>
      <c r="D131" s="25"/>
      <c r="E131" s="25"/>
      <c r="F131" s="25"/>
      <c r="H131" s="8"/>
      <c r="I131" s="25"/>
    </row>
    <row r="132" spans="2:9" s="9" customFormat="1">
      <c r="B132" s="25"/>
      <c r="C132" s="25"/>
      <c r="D132" s="25"/>
      <c r="E132" s="25"/>
      <c r="F132" s="25"/>
      <c r="H132" s="8"/>
      <c r="I132" s="25"/>
    </row>
    <row r="133" spans="2:9" s="9" customFormat="1">
      <c r="B133" s="25"/>
      <c r="C133" s="25"/>
      <c r="D133" s="25"/>
      <c r="E133" s="25"/>
      <c r="F133" s="25"/>
      <c r="H133" s="8"/>
      <c r="I133" s="25"/>
    </row>
    <row r="134" spans="2:9" s="9" customFormat="1">
      <c r="B134" s="25"/>
      <c r="C134" s="25"/>
      <c r="D134" s="25"/>
      <c r="E134" s="25"/>
      <c r="F134" s="25"/>
      <c r="H134" s="8"/>
      <c r="I134" s="25"/>
    </row>
    <row r="135" spans="2:9" s="9" customFormat="1">
      <c r="B135" s="25"/>
      <c r="C135" s="25"/>
      <c r="D135" s="25"/>
      <c r="E135" s="25"/>
      <c r="F135" s="25"/>
      <c r="H135" s="8"/>
      <c r="I135" s="25"/>
    </row>
    <row r="136" spans="2:9" s="9" customFormat="1">
      <c r="B136" s="25"/>
      <c r="C136" s="25"/>
      <c r="D136" s="25"/>
      <c r="E136" s="25"/>
      <c r="F136" s="25"/>
      <c r="H136" s="8"/>
      <c r="I136" s="25"/>
    </row>
    <row r="137" spans="2:9" s="9" customFormat="1">
      <c r="B137" s="25"/>
      <c r="C137" s="25"/>
      <c r="D137" s="25"/>
      <c r="E137" s="25"/>
      <c r="F137" s="25"/>
      <c r="H137" s="8"/>
      <c r="I137" s="25"/>
    </row>
    <row r="138" spans="2:9" s="9" customFormat="1">
      <c r="B138" s="25"/>
      <c r="C138" s="25"/>
      <c r="D138" s="25"/>
      <c r="E138" s="25"/>
      <c r="F138" s="25"/>
      <c r="H138" s="8"/>
      <c r="I138" s="25"/>
    </row>
    <row r="139" spans="2:9" s="9" customFormat="1">
      <c r="B139" s="25"/>
      <c r="C139" s="25"/>
      <c r="D139" s="25"/>
      <c r="E139" s="25"/>
      <c r="F139" s="25"/>
      <c r="H139" s="8"/>
      <c r="I139" s="25"/>
    </row>
    <row r="140" spans="2:9" s="9" customFormat="1">
      <c r="B140" s="25"/>
      <c r="C140" s="25"/>
      <c r="D140" s="25"/>
      <c r="E140" s="25"/>
      <c r="F140" s="25"/>
      <c r="H140" s="8"/>
      <c r="I140" s="25"/>
    </row>
    <row r="141" spans="2:9" s="9" customFormat="1">
      <c r="B141" s="25"/>
      <c r="C141" s="25"/>
      <c r="D141" s="25"/>
      <c r="E141" s="25"/>
      <c r="F141" s="25"/>
      <c r="H141" s="8"/>
      <c r="I141" s="25"/>
    </row>
    <row r="142" spans="2:9" s="9" customFormat="1">
      <c r="B142" s="25"/>
      <c r="C142" s="25"/>
      <c r="D142" s="25"/>
      <c r="E142" s="25"/>
      <c r="F142" s="25"/>
      <c r="H142" s="8"/>
      <c r="I142" s="25"/>
    </row>
    <row r="143" spans="2:9" s="9" customFormat="1">
      <c r="B143" s="25"/>
      <c r="C143" s="25"/>
      <c r="D143" s="25"/>
      <c r="E143" s="25"/>
      <c r="F143" s="25"/>
      <c r="H143" s="8"/>
      <c r="I143" s="25"/>
    </row>
    <row r="144" spans="2:9" s="9" customFormat="1">
      <c r="B144" s="25"/>
      <c r="C144" s="25"/>
      <c r="D144" s="25"/>
      <c r="E144" s="25"/>
      <c r="F144" s="25"/>
      <c r="H144" s="8"/>
      <c r="I144" s="25"/>
    </row>
    <row r="145" spans="2:9" s="9" customFormat="1">
      <c r="B145" s="25"/>
      <c r="C145" s="25"/>
      <c r="D145" s="25"/>
      <c r="E145" s="25"/>
      <c r="F145" s="25"/>
      <c r="H145" s="8"/>
      <c r="I145" s="25"/>
    </row>
    <row r="146" spans="2:9" s="9" customFormat="1">
      <c r="B146" s="25"/>
      <c r="C146" s="25"/>
      <c r="D146" s="25"/>
      <c r="E146" s="25"/>
      <c r="F146" s="25"/>
      <c r="H146" s="8"/>
      <c r="I146" s="25"/>
    </row>
    <row r="147" spans="2:9" s="9" customFormat="1">
      <c r="B147" s="25"/>
      <c r="C147" s="25"/>
      <c r="D147" s="25"/>
      <c r="E147" s="25"/>
      <c r="F147" s="25"/>
      <c r="H147" s="8"/>
      <c r="I147" s="25"/>
    </row>
    <row r="148" spans="2:9" s="9" customFormat="1">
      <c r="B148" s="25"/>
      <c r="C148" s="25"/>
      <c r="D148" s="25"/>
      <c r="E148" s="25"/>
      <c r="F148" s="25"/>
      <c r="H148" s="8"/>
      <c r="I148" s="25"/>
    </row>
    <row r="149" spans="2:9" s="9" customFormat="1">
      <c r="B149" s="25"/>
      <c r="C149" s="25"/>
      <c r="D149" s="25"/>
      <c r="E149" s="25"/>
      <c r="F149" s="25"/>
      <c r="H149" s="8"/>
      <c r="I149" s="25"/>
    </row>
    <row r="150" spans="2:9" s="9" customFormat="1">
      <c r="B150" s="25"/>
      <c r="C150" s="25"/>
      <c r="D150" s="25"/>
      <c r="E150" s="25"/>
      <c r="F150" s="25"/>
      <c r="H150" s="8"/>
      <c r="I150" s="25"/>
    </row>
    <row r="151" spans="2:9" s="9" customFormat="1">
      <c r="B151" s="25"/>
      <c r="C151" s="25"/>
      <c r="D151" s="25"/>
      <c r="E151" s="25"/>
      <c r="F151" s="25"/>
      <c r="H151" s="8"/>
      <c r="I151" s="25"/>
    </row>
    <row r="152" spans="2:9" s="9" customFormat="1">
      <c r="B152" s="25"/>
      <c r="C152" s="25"/>
      <c r="D152" s="25"/>
      <c r="E152" s="25"/>
      <c r="F152" s="25"/>
      <c r="H152" s="8"/>
      <c r="I152" s="25"/>
    </row>
    <row r="153" spans="2:9" s="9" customFormat="1">
      <c r="B153" s="25"/>
      <c r="C153" s="25"/>
      <c r="D153" s="25"/>
      <c r="E153" s="25"/>
      <c r="F153" s="25"/>
      <c r="H153" s="8"/>
      <c r="I153" s="25"/>
    </row>
    <row r="154" spans="2:9" s="9" customFormat="1">
      <c r="B154" s="25"/>
      <c r="C154" s="25"/>
      <c r="D154" s="25"/>
      <c r="E154" s="25"/>
      <c r="F154" s="25"/>
      <c r="H154" s="8"/>
      <c r="I154" s="25"/>
    </row>
    <row r="155" spans="2:9" s="9" customFormat="1">
      <c r="B155" s="25"/>
      <c r="C155" s="25"/>
      <c r="D155" s="25"/>
      <c r="E155" s="25"/>
      <c r="F155" s="25"/>
      <c r="H155" s="8"/>
      <c r="I155" s="25"/>
    </row>
    <row r="156" spans="2:9" s="9" customFormat="1">
      <c r="B156" s="25"/>
      <c r="C156" s="25"/>
      <c r="D156" s="25"/>
      <c r="E156" s="25"/>
      <c r="F156" s="25"/>
      <c r="H156" s="8"/>
      <c r="I156" s="25"/>
    </row>
    <row r="157" spans="2:9" s="9" customFormat="1">
      <c r="B157" s="25"/>
      <c r="C157" s="25"/>
      <c r="D157" s="25"/>
      <c r="E157" s="25"/>
      <c r="F157" s="25"/>
      <c r="H157" s="8"/>
      <c r="I157" s="25"/>
    </row>
    <row r="158" spans="2:9" s="9" customFormat="1">
      <c r="B158" s="25"/>
      <c r="C158" s="25"/>
      <c r="D158" s="25"/>
      <c r="E158" s="25"/>
      <c r="F158" s="25"/>
      <c r="H158" s="8"/>
      <c r="I158" s="25"/>
    </row>
    <row r="159" spans="2:9" s="9" customFormat="1">
      <c r="B159" s="25"/>
      <c r="C159" s="25"/>
      <c r="D159" s="25"/>
      <c r="E159" s="25"/>
      <c r="F159" s="25"/>
      <c r="H159" s="8"/>
      <c r="I159" s="25"/>
    </row>
    <row r="160" spans="2:9" s="9" customFormat="1">
      <c r="B160" s="25"/>
      <c r="C160" s="25"/>
      <c r="D160" s="25"/>
      <c r="E160" s="25"/>
      <c r="F160" s="25"/>
      <c r="H160" s="8"/>
      <c r="I160" s="25"/>
    </row>
    <row r="161" spans="2:9" s="9" customFormat="1">
      <c r="B161" s="25"/>
      <c r="C161" s="25"/>
      <c r="D161" s="25"/>
      <c r="E161" s="25"/>
      <c r="F161" s="25"/>
      <c r="H161" s="8"/>
      <c r="I161" s="25"/>
    </row>
    <row r="162" spans="2:9" s="9" customFormat="1">
      <c r="B162" s="25"/>
      <c r="C162" s="25"/>
      <c r="D162" s="25"/>
      <c r="E162" s="25"/>
      <c r="F162" s="25"/>
      <c r="H162" s="8"/>
      <c r="I162" s="25"/>
    </row>
    <row r="163" spans="2:9" s="9" customFormat="1">
      <c r="B163" s="25"/>
      <c r="C163" s="25"/>
      <c r="D163" s="25"/>
      <c r="E163" s="25"/>
      <c r="F163" s="25"/>
      <c r="H163" s="8"/>
      <c r="I163" s="25"/>
    </row>
    <row r="164" spans="2:9" s="9" customFormat="1">
      <c r="B164" s="25"/>
      <c r="C164" s="25"/>
      <c r="D164" s="25"/>
      <c r="E164" s="25"/>
      <c r="F164" s="25"/>
      <c r="H164" s="8"/>
      <c r="I164" s="25"/>
    </row>
    <row r="165" spans="2:9" s="9" customFormat="1">
      <c r="B165" s="25"/>
      <c r="C165" s="25"/>
      <c r="D165" s="25"/>
      <c r="E165" s="25"/>
      <c r="F165" s="25"/>
      <c r="H165" s="8"/>
      <c r="I165" s="25"/>
    </row>
    <row r="166" spans="2:9" s="9" customFormat="1">
      <c r="B166" s="25"/>
      <c r="C166" s="25"/>
      <c r="D166" s="25"/>
      <c r="E166" s="25"/>
      <c r="F166" s="25"/>
      <c r="H166" s="8"/>
      <c r="I166" s="25"/>
    </row>
    <row r="167" spans="2:9" s="9" customFormat="1">
      <c r="B167" s="25"/>
      <c r="C167" s="25"/>
      <c r="D167" s="25"/>
      <c r="E167" s="25"/>
      <c r="F167" s="25"/>
      <c r="H167" s="8"/>
      <c r="I167" s="25"/>
    </row>
    <row r="168" spans="2:9" s="9" customFormat="1">
      <c r="B168" s="25"/>
      <c r="C168" s="25"/>
      <c r="D168" s="25"/>
      <c r="E168" s="25"/>
      <c r="F168" s="25"/>
      <c r="H168" s="8"/>
      <c r="I168" s="25"/>
    </row>
    <row r="169" spans="2:9" s="9" customFormat="1">
      <c r="B169" s="25"/>
      <c r="C169" s="25"/>
      <c r="D169" s="25"/>
      <c r="E169" s="25"/>
      <c r="F169" s="25"/>
      <c r="H169" s="8"/>
      <c r="I169" s="25"/>
    </row>
    <row r="170" spans="2:9" s="9" customFormat="1">
      <c r="B170" s="25"/>
      <c r="C170" s="25"/>
      <c r="D170" s="25"/>
      <c r="E170" s="25"/>
      <c r="F170" s="25"/>
      <c r="H170" s="8"/>
      <c r="I170" s="25"/>
    </row>
    <row r="171" spans="2:9" s="9" customFormat="1">
      <c r="B171" s="25"/>
      <c r="C171" s="25"/>
      <c r="D171" s="25"/>
      <c r="E171" s="25"/>
      <c r="F171" s="25"/>
      <c r="H171" s="8"/>
      <c r="I171" s="25"/>
    </row>
    <row r="172" spans="2:9" s="9" customFormat="1">
      <c r="B172" s="25"/>
      <c r="C172" s="25"/>
      <c r="D172" s="25"/>
      <c r="E172" s="25"/>
      <c r="F172" s="25"/>
      <c r="H172" s="8"/>
      <c r="I172" s="25"/>
    </row>
    <row r="173" spans="2:9" s="9" customFormat="1">
      <c r="B173" s="25"/>
      <c r="C173" s="25"/>
      <c r="D173" s="25"/>
      <c r="E173" s="25"/>
      <c r="F173" s="25"/>
      <c r="H173" s="8"/>
      <c r="I173" s="25"/>
    </row>
    <row r="174" spans="2:9" s="9" customFormat="1">
      <c r="B174" s="25"/>
      <c r="C174" s="25"/>
      <c r="D174" s="25"/>
      <c r="E174" s="25"/>
      <c r="F174" s="25"/>
      <c r="H174" s="8"/>
      <c r="I174" s="25"/>
    </row>
    <row r="175" spans="2:9" s="9" customFormat="1">
      <c r="B175" s="25"/>
      <c r="C175" s="25"/>
      <c r="D175" s="25"/>
      <c r="E175" s="25"/>
      <c r="F175" s="25"/>
      <c r="H175" s="8"/>
      <c r="I175" s="25"/>
    </row>
    <row r="176" spans="2:9" s="9" customFormat="1">
      <c r="B176" s="25"/>
      <c r="C176" s="25"/>
      <c r="D176" s="25"/>
      <c r="E176" s="25"/>
      <c r="F176" s="25"/>
      <c r="H176" s="8"/>
      <c r="I176" s="25"/>
    </row>
    <row r="177" spans="2:9" s="9" customFormat="1">
      <c r="B177" s="25"/>
      <c r="C177" s="25"/>
      <c r="D177" s="25"/>
      <c r="E177" s="25"/>
      <c r="F177" s="25"/>
      <c r="H177" s="8"/>
      <c r="I177" s="25"/>
    </row>
    <row r="178" spans="2:9" s="9" customFormat="1">
      <c r="B178" s="25"/>
      <c r="C178" s="25"/>
      <c r="D178" s="25"/>
      <c r="E178" s="25"/>
      <c r="F178" s="25"/>
      <c r="H178" s="8"/>
      <c r="I178" s="25"/>
    </row>
    <row r="179" spans="2:9" s="9" customFormat="1">
      <c r="B179" s="25"/>
      <c r="C179" s="25"/>
      <c r="D179" s="25"/>
      <c r="E179" s="25"/>
      <c r="F179" s="25"/>
      <c r="H179" s="8"/>
      <c r="I179" s="25"/>
    </row>
    <row r="180" spans="2:9" s="9" customFormat="1">
      <c r="B180" s="25"/>
      <c r="C180" s="25"/>
      <c r="D180" s="25"/>
      <c r="E180" s="25"/>
      <c r="F180" s="25"/>
      <c r="H180" s="8"/>
      <c r="I180" s="25"/>
    </row>
    <row r="181" spans="2:9" s="9" customFormat="1">
      <c r="B181" s="25"/>
      <c r="C181" s="25"/>
      <c r="D181" s="25"/>
      <c r="E181" s="25"/>
      <c r="F181" s="25"/>
      <c r="H181" s="8"/>
      <c r="I181" s="25"/>
    </row>
    <row r="182" spans="2:9" s="9" customFormat="1">
      <c r="B182" s="25"/>
      <c r="C182" s="25"/>
      <c r="D182" s="25"/>
      <c r="E182" s="25"/>
      <c r="F182" s="25"/>
      <c r="H182" s="8"/>
      <c r="I182" s="25"/>
    </row>
    <row r="183" spans="2:9" s="9" customFormat="1">
      <c r="B183" s="25"/>
      <c r="C183" s="25"/>
      <c r="D183" s="25"/>
      <c r="E183" s="25"/>
      <c r="F183" s="25"/>
      <c r="H183" s="8"/>
      <c r="I183" s="25"/>
    </row>
    <row r="184" spans="2:9" s="9" customFormat="1">
      <c r="B184" s="25"/>
      <c r="C184" s="25"/>
      <c r="D184" s="25"/>
      <c r="E184" s="25"/>
      <c r="F184" s="25"/>
      <c r="H184" s="8"/>
      <c r="I184" s="25"/>
    </row>
    <row r="185" spans="2:9" s="9" customFormat="1">
      <c r="B185" s="25"/>
      <c r="C185" s="25"/>
      <c r="D185" s="25"/>
      <c r="E185" s="25"/>
      <c r="F185" s="25"/>
      <c r="H185" s="8"/>
      <c r="I185" s="25"/>
    </row>
    <row r="186" spans="2:9" s="9" customFormat="1">
      <c r="B186" s="25"/>
      <c r="C186" s="25"/>
      <c r="D186" s="25"/>
      <c r="E186" s="25"/>
      <c r="F186" s="25"/>
      <c r="H186" s="8"/>
      <c r="I186" s="25"/>
    </row>
    <row r="187" spans="2:9" s="9" customFormat="1">
      <c r="B187" s="25"/>
      <c r="C187" s="25"/>
      <c r="D187" s="25"/>
      <c r="E187" s="25"/>
      <c r="F187" s="25"/>
      <c r="H187" s="8"/>
      <c r="I187" s="25"/>
    </row>
    <row r="188" spans="2:9" s="9" customFormat="1">
      <c r="B188" s="25"/>
      <c r="C188" s="25"/>
      <c r="D188" s="25"/>
      <c r="E188" s="25"/>
      <c r="F188" s="25"/>
      <c r="H188" s="8"/>
      <c r="I188" s="25"/>
    </row>
    <row r="189" spans="2:9" s="9" customFormat="1">
      <c r="B189" s="25"/>
      <c r="C189" s="25"/>
      <c r="D189" s="25"/>
      <c r="E189" s="25"/>
      <c r="F189" s="25"/>
      <c r="H189" s="8"/>
      <c r="I189" s="25"/>
    </row>
    <row r="190" spans="2:9" s="9" customFormat="1">
      <c r="B190" s="25"/>
      <c r="C190" s="25"/>
      <c r="D190" s="25"/>
      <c r="E190" s="25"/>
      <c r="F190" s="25"/>
      <c r="H190" s="8"/>
      <c r="I190" s="25"/>
    </row>
    <row r="191" spans="2:9" s="9" customFormat="1">
      <c r="B191" s="25"/>
      <c r="C191" s="25"/>
      <c r="D191" s="25"/>
      <c r="E191" s="25"/>
      <c r="F191" s="25"/>
      <c r="H191" s="8"/>
      <c r="I191" s="25"/>
    </row>
    <row r="192" spans="2:9" s="9" customFormat="1">
      <c r="B192" s="25"/>
      <c r="C192" s="25"/>
      <c r="D192" s="25"/>
      <c r="E192" s="25"/>
      <c r="F192" s="25"/>
      <c r="H192" s="8"/>
      <c r="I192" s="25"/>
    </row>
    <row r="193" spans="2:9" s="9" customFormat="1">
      <c r="B193" s="25"/>
      <c r="C193" s="25"/>
      <c r="D193" s="25"/>
      <c r="E193" s="25"/>
      <c r="F193" s="25"/>
      <c r="H193" s="8"/>
      <c r="I193" s="25"/>
    </row>
    <row r="194" spans="2:9" s="9" customFormat="1">
      <c r="B194" s="25"/>
      <c r="C194" s="25"/>
      <c r="D194" s="25"/>
      <c r="E194" s="25"/>
      <c r="F194" s="25"/>
      <c r="H194" s="8"/>
      <c r="I194" s="25"/>
    </row>
    <row r="195" spans="2:9" s="9" customFormat="1">
      <c r="B195" s="25"/>
      <c r="C195" s="25"/>
      <c r="D195" s="25"/>
      <c r="E195" s="25"/>
      <c r="F195" s="25"/>
      <c r="H195" s="8"/>
      <c r="I195" s="25"/>
    </row>
    <row r="196" spans="2:9" s="9" customFormat="1">
      <c r="B196" s="25"/>
      <c r="C196" s="25"/>
      <c r="D196" s="25"/>
      <c r="E196" s="25"/>
      <c r="F196" s="25"/>
      <c r="H196" s="8"/>
      <c r="I196" s="25"/>
    </row>
    <row r="197" spans="2:9" s="9" customFormat="1">
      <c r="B197" s="25"/>
      <c r="C197" s="25"/>
      <c r="D197" s="25"/>
      <c r="E197" s="25"/>
      <c r="F197" s="25"/>
      <c r="H197" s="8"/>
      <c r="I197" s="25"/>
    </row>
    <row r="198" spans="2:9" s="9" customFormat="1">
      <c r="B198" s="25"/>
      <c r="C198" s="25"/>
      <c r="D198" s="25"/>
      <c r="E198" s="25"/>
      <c r="F198" s="25"/>
      <c r="H198" s="8"/>
      <c r="I198" s="25"/>
    </row>
    <row r="199" spans="2:9" s="9" customFormat="1">
      <c r="B199" s="25"/>
      <c r="C199" s="25"/>
      <c r="D199" s="25"/>
      <c r="E199" s="25"/>
      <c r="F199" s="25"/>
      <c r="H199" s="8"/>
      <c r="I199" s="25"/>
    </row>
    <row r="200" spans="2:9" s="9" customFormat="1">
      <c r="B200" s="25"/>
      <c r="C200" s="25"/>
      <c r="D200" s="25"/>
      <c r="E200" s="25"/>
      <c r="F200" s="25"/>
      <c r="H200" s="8"/>
      <c r="I200" s="25"/>
    </row>
    <row r="201" spans="2:9" s="9" customFormat="1">
      <c r="B201" s="25"/>
      <c r="C201" s="25"/>
      <c r="D201" s="25"/>
      <c r="E201" s="25"/>
      <c r="F201" s="25"/>
      <c r="H201" s="8"/>
      <c r="I201" s="25"/>
    </row>
    <row r="202" spans="2:9" s="9" customFormat="1">
      <c r="B202" s="25"/>
      <c r="C202" s="25"/>
      <c r="D202" s="25"/>
      <c r="E202" s="25"/>
      <c r="F202" s="25"/>
      <c r="H202" s="8"/>
      <c r="I202" s="25"/>
    </row>
    <row r="203" spans="2:9" s="9" customFormat="1">
      <c r="B203" s="25"/>
      <c r="C203" s="25"/>
      <c r="D203" s="25"/>
      <c r="E203" s="25"/>
      <c r="F203" s="25"/>
      <c r="H203" s="8"/>
      <c r="I203" s="25"/>
    </row>
    <row r="204" spans="2:9" s="9" customFormat="1">
      <c r="B204" s="25"/>
      <c r="C204" s="25"/>
      <c r="D204" s="25"/>
      <c r="E204" s="25"/>
      <c r="F204" s="25"/>
      <c r="H204" s="8"/>
      <c r="I204" s="25"/>
    </row>
    <row r="205" spans="2:9" s="9" customFormat="1">
      <c r="B205" s="25"/>
      <c r="C205" s="25"/>
      <c r="D205" s="25"/>
      <c r="E205" s="25"/>
      <c r="F205" s="25"/>
      <c r="H205" s="8"/>
      <c r="I205" s="25"/>
    </row>
    <row r="206" spans="2:9" s="9" customFormat="1">
      <c r="B206" s="25"/>
      <c r="C206" s="25"/>
      <c r="D206" s="25"/>
      <c r="E206" s="25"/>
      <c r="F206" s="25"/>
      <c r="H206" s="8"/>
      <c r="I206" s="25"/>
    </row>
    <row r="207" spans="2:9" s="9" customFormat="1">
      <c r="B207" s="25"/>
      <c r="C207" s="25"/>
      <c r="D207" s="25"/>
      <c r="E207" s="25"/>
      <c r="F207" s="25"/>
      <c r="H207" s="8"/>
      <c r="I207" s="25"/>
    </row>
    <row r="208" spans="2:9" s="9" customFormat="1">
      <c r="B208" s="25"/>
      <c r="C208" s="25"/>
      <c r="D208" s="25"/>
      <c r="E208" s="25"/>
      <c r="F208" s="25"/>
      <c r="H208" s="8"/>
      <c r="I208" s="25"/>
    </row>
    <row r="209" spans="2:9" s="9" customFormat="1">
      <c r="B209" s="25"/>
      <c r="C209" s="25"/>
      <c r="D209" s="25"/>
      <c r="E209" s="25"/>
      <c r="F209" s="25"/>
      <c r="H209" s="8"/>
      <c r="I209" s="25"/>
    </row>
    <row r="210" spans="2:9" s="9" customFormat="1">
      <c r="B210" s="25"/>
      <c r="C210" s="25"/>
      <c r="D210" s="25"/>
      <c r="E210" s="25"/>
      <c r="F210" s="25"/>
      <c r="H210" s="8"/>
      <c r="I210" s="25"/>
    </row>
    <row r="211" spans="2:9" s="9" customFormat="1">
      <c r="B211" s="25"/>
      <c r="C211" s="25"/>
      <c r="D211" s="25"/>
      <c r="E211" s="25"/>
      <c r="F211" s="25"/>
      <c r="H211" s="8"/>
      <c r="I211" s="25"/>
    </row>
    <row r="212" spans="2:9" s="9" customFormat="1">
      <c r="B212" s="25"/>
      <c r="C212" s="25"/>
      <c r="D212" s="25"/>
      <c r="E212" s="25"/>
      <c r="F212" s="25"/>
      <c r="H212" s="8"/>
      <c r="I212" s="25"/>
    </row>
    <row r="213" spans="2:9" s="9" customFormat="1">
      <c r="B213" s="25"/>
      <c r="C213" s="25"/>
      <c r="D213" s="25"/>
      <c r="E213" s="25"/>
      <c r="F213" s="25"/>
      <c r="H213" s="8"/>
      <c r="I213" s="25"/>
    </row>
    <row r="214" spans="2:9" s="9" customFormat="1">
      <c r="B214" s="25"/>
      <c r="C214" s="25"/>
      <c r="D214" s="25"/>
      <c r="E214" s="25"/>
      <c r="F214" s="25"/>
      <c r="H214" s="8"/>
      <c r="I214" s="25"/>
    </row>
    <row r="215" spans="2:9" s="9" customFormat="1">
      <c r="B215" s="25"/>
      <c r="C215" s="25"/>
      <c r="D215" s="25"/>
      <c r="E215" s="25"/>
      <c r="F215" s="25"/>
      <c r="H215" s="8"/>
      <c r="I215" s="25"/>
    </row>
    <row r="216" spans="2:9" s="9" customFormat="1">
      <c r="B216" s="25"/>
      <c r="C216" s="25"/>
      <c r="D216" s="25"/>
      <c r="E216" s="25"/>
      <c r="F216" s="25"/>
      <c r="H216" s="8"/>
      <c r="I216" s="25"/>
    </row>
    <row r="217" spans="2:9" s="9" customFormat="1">
      <c r="B217" s="25"/>
      <c r="C217" s="25"/>
      <c r="D217" s="25"/>
      <c r="E217" s="25"/>
      <c r="F217" s="25"/>
      <c r="H217" s="8"/>
      <c r="I217" s="25"/>
    </row>
    <row r="218" spans="2:9" s="9" customFormat="1">
      <c r="B218" s="25"/>
      <c r="C218" s="25"/>
      <c r="D218" s="25"/>
      <c r="E218" s="25"/>
      <c r="F218" s="25"/>
      <c r="H218" s="8"/>
      <c r="I218" s="25"/>
    </row>
    <row r="219" spans="2:9" s="9" customFormat="1">
      <c r="B219" s="25"/>
      <c r="C219" s="25"/>
      <c r="D219" s="25"/>
      <c r="E219" s="25"/>
      <c r="F219" s="25"/>
      <c r="H219" s="8"/>
      <c r="I219" s="25"/>
    </row>
    <row r="220" spans="2:9" s="9" customFormat="1">
      <c r="B220" s="25"/>
      <c r="C220" s="25"/>
      <c r="D220" s="25"/>
      <c r="E220" s="25"/>
      <c r="F220" s="25"/>
      <c r="H220" s="8"/>
      <c r="I220" s="25"/>
    </row>
    <row r="221" spans="2:9" s="9" customFormat="1">
      <c r="B221" s="25"/>
      <c r="C221" s="25"/>
      <c r="D221" s="25"/>
      <c r="E221" s="25"/>
      <c r="F221" s="25"/>
      <c r="H221" s="8"/>
      <c r="I221" s="25"/>
    </row>
    <row r="222" spans="2:9" s="9" customFormat="1">
      <c r="B222" s="25"/>
      <c r="C222" s="25"/>
      <c r="D222" s="25"/>
      <c r="E222" s="25"/>
      <c r="F222" s="25"/>
      <c r="H222" s="8"/>
      <c r="I222" s="25"/>
    </row>
    <row r="223" spans="2:9" s="9" customFormat="1">
      <c r="B223" s="25"/>
      <c r="C223" s="25"/>
      <c r="D223" s="25"/>
      <c r="E223" s="25"/>
      <c r="F223" s="25"/>
      <c r="H223" s="8"/>
      <c r="I223" s="25"/>
    </row>
    <row r="224" spans="2:9" s="9" customFormat="1">
      <c r="B224" s="25"/>
      <c r="C224" s="25"/>
      <c r="D224" s="25"/>
      <c r="E224" s="25"/>
      <c r="F224" s="25"/>
      <c r="H224" s="8"/>
      <c r="I224" s="25"/>
    </row>
    <row r="225" spans="2:9" s="9" customFormat="1">
      <c r="B225" s="25"/>
      <c r="C225" s="25"/>
      <c r="D225" s="25"/>
      <c r="E225" s="25"/>
      <c r="F225" s="25"/>
      <c r="H225" s="8"/>
      <c r="I225" s="25"/>
    </row>
    <row r="226" spans="2:9" s="9" customFormat="1">
      <c r="B226" s="25"/>
      <c r="C226" s="25"/>
      <c r="D226" s="25"/>
      <c r="E226" s="25"/>
      <c r="F226" s="25"/>
      <c r="H226" s="8"/>
      <c r="I226" s="25"/>
    </row>
    <row r="227" spans="2:9" s="9" customFormat="1">
      <c r="B227" s="25"/>
      <c r="C227" s="25"/>
      <c r="D227" s="25"/>
      <c r="E227" s="25"/>
      <c r="F227" s="25"/>
      <c r="H227" s="8"/>
      <c r="I227" s="25"/>
    </row>
    <row r="228" spans="2:9" s="9" customFormat="1">
      <c r="B228" s="25"/>
      <c r="C228" s="25"/>
      <c r="D228" s="25"/>
      <c r="E228" s="25"/>
      <c r="F228" s="25"/>
      <c r="H228" s="8"/>
      <c r="I228" s="25"/>
    </row>
    <row r="229" spans="2:9" s="9" customFormat="1">
      <c r="B229" s="25"/>
      <c r="C229" s="25"/>
      <c r="D229" s="25"/>
      <c r="E229" s="25"/>
      <c r="F229" s="25"/>
      <c r="H229" s="8"/>
      <c r="I229" s="25"/>
    </row>
    <row r="230" spans="2:9" s="9" customFormat="1">
      <c r="B230" s="25"/>
      <c r="C230" s="25"/>
      <c r="D230" s="25"/>
      <c r="E230" s="25"/>
      <c r="F230" s="25"/>
      <c r="H230" s="8"/>
      <c r="I230" s="25"/>
    </row>
    <row r="231" spans="2:9" s="9" customFormat="1">
      <c r="B231" s="25"/>
      <c r="C231" s="25"/>
      <c r="D231" s="25"/>
      <c r="E231" s="25"/>
      <c r="F231" s="25"/>
      <c r="H231" s="8"/>
      <c r="I231" s="25"/>
    </row>
    <row r="232" spans="2:9" s="9" customFormat="1">
      <c r="B232" s="25"/>
      <c r="C232" s="25"/>
      <c r="D232" s="25"/>
      <c r="E232" s="25"/>
      <c r="F232" s="25"/>
      <c r="H232" s="8"/>
      <c r="I232" s="25"/>
    </row>
    <row r="233" spans="2:9" s="9" customFormat="1">
      <c r="B233" s="25"/>
      <c r="C233" s="25"/>
      <c r="D233" s="25"/>
      <c r="E233" s="25"/>
      <c r="F233" s="25"/>
      <c r="H233" s="8"/>
      <c r="I233" s="25"/>
    </row>
    <row r="234" spans="2:9" s="9" customFormat="1">
      <c r="B234" s="25"/>
      <c r="C234" s="25"/>
      <c r="D234" s="25"/>
      <c r="E234" s="25"/>
      <c r="F234" s="25"/>
      <c r="H234" s="8"/>
      <c r="I234" s="25"/>
    </row>
    <row r="235" spans="2:9" s="9" customFormat="1">
      <c r="B235" s="25"/>
      <c r="C235" s="25"/>
      <c r="D235" s="25"/>
      <c r="E235" s="25"/>
      <c r="F235" s="25"/>
      <c r="H235" s="8"/>
      <c r="I235" s="25"/>
    </row>
    <row r="236" spans="2:9" s="9" customFormat="1">
      <c r="B236" s="25"/>
      <c r="C236" s="25"/>
      <c r="D236" s="25"/>
      <c r="E236" s="25"/>
      <c r="F236" s="25"/>
      <c r="H236" s="8"/>
      <c r="I236" s="25"/>
    </row>
    <row r="237" spans="2:9" s="9" customFormat="1">
      <c r="B237" s="25"/>
      <c r="C237" s="25"/>
      <c r="D237" s="25"/>
      <c r="E237" s="25"/>
      <c r="F237" s="25"/>
      <c r="H237" s="8"/>
      <c r="I237" s="25"/>
    </row>
    <row r="238" spans="2:9" s="9" customFormat="1">
      <c r="B238" s="25"/>
      <c r="C238" s="25"/>
      <c r="D238" s="25"/>
      <c r="E238" s="25"/>
      <c r="F238" s="25"/>
      <c r="H238" s="8"/>
      <c r="I238" s="25"/>
    </row>
    <row r="239" spans="2:9" s="9" customFormat="1">
      <c r="B239" s="25"/>
      <c r="C239" s="25"/>
      <c r="D239" s="25"/>
      <c r="E239" s="25"/>
      <c r="F239" s="25"/>
      <c r="H239" s="8"/>
      <c r="I239" s="25"/>
    </row>
    <row r="240" spans="2:9" s="9" customFormat="1">
      <c r="B240" s="25"/>
      <c r="C240" s="25"/>
      <c r="D240" s="25"/>
      <c r="E240" s="25"/>
      <c r="F240" s="25"/>
      <c r="H240" s="8"/>
      <c r="I240" s="25"/>
    </row>
    <row r="241" spans="2:9" s="9" customFormat="1">
      <c r="B241" s="25"/>
      <c r="C241" s="25"/>
      <c r="D241" s="25"/>
      <c r="E241" s="25"/>
      <c r="F241" s="25"/>
      <c r="H241" s="8"/>
      <c r="I241" s="25"/>
    </row>
    <row r="242" spans="2:9" s="9" customFormat="1">
      <c r="B242" s="25"/>
      <c r="C242" s="25"/>
      <c r="D242" s="25"/>
      <c r="E242" s="25"/>
      <c r="F242" s="25"/>
      <c r="H242" s="8"/>
      <c r="I242" s="25"/>
    </row>
    <row r="243" spans="2:9" s="9" customFormat="1">
      <c r="B243" s="25"/>
      <c r="C243" s="25"/>
      <c r="D243" s="25"/>
      <c r="E243" s="25"/>
      <c r="F243" s="25"/>
      <c r="H243" s="8"/>
      <c r="I243" s="25"/>
    </row>
    <row r="244" spans="2:9" s="9" customFormat="1">
      <c r="B244" s="25"/>
      <c r="C244" s="25"/>
      <c r="D244" s="25"/>
      <c r="E244" s="25"/>
      <c r="F244" s="25"/>
      <c r="H244" s="8"/>
      <c r="I244" s="25"/>
    </row>
    <row r="245" spans="2:9" s="9" customFormat="1">
      <c r="B245" s="25"/>
      <c r="C245" s="25"/>
      <c r="D245" s="25"/>
      <c r="E245" s="25"/>
      <c r="F245" s="25"/>
      <c r="H245" s="8"/>
      <c r="I245" s="25"/>
    </row>
    <row r="246" spans="2:9" s="9" customFormat="1">
      <c r="B246" s="25"/>
      <c r="C246" s="25"/>
      <c r="D246" s="25"/>
      <c r="E246" s="25"/>
      <c r="F246" s="25"/>
      <c r="H246" s="8"/>
      <c r="I246" s="25"/>
    </row>
    <row r="247" spans="2:9" s="9" customFormat="1">
      <c r="B247" s="25"/>
      <c r="C247" s="25"/>
      <c r="D247" s="25"/>
      <c r="E247" s="25"/>
      <c r="F247" s="25"/>
      <c r="H247" s="8"/>
      <c r="I247" s="25"/>
    </row>
    <row r="248" spans="2:9" s="9" customFormat="1">
      <c r="B248" s="25"/>
      <c r="C248" s="25"/>
      <c r="D248" s="25"/>
      <c r="E248" s="25"/>
      <c r="F248" s="25"/>
      <c r="H248" s="8"/>
      <c r="I248" s="25"/>
    </row>
    <row r="249" spans="2:9" s="9" customFormat="1">
      <c r="B249" s="25"/>
      <c r="C249" s="25"/>
      <c r="D249" s="25"/>
      <c r="E249" s="25"/>
      <c r="F249" s="25"/>
      <c r="H249" s="8"/>
      <c r="I249" s="25"/>
    </row>
    <row r="250" spans="2:9" s="9" customFormat="1">
      <c r="B250" s="25"/>
      <c r="C250" s="25"/>
      <c r="D250" s="25"/>
      <c r="E250" s="25"/>
      <c r="F250" s="25"/>
      <c r="H250" s="8"/>
      <c r="I250" s="25"/>
    </row>
    <row r="251" spans="2:9" s="9" customFormat="1">
      <c r="B251" s="25"/>
      <c r="C251" s="25"/>
      <c r="D251" s="25"/>
      <c r="E251" s="25"/>
      <c r="F251" s="25"/>
      <c r="H251" s="8"/>
      <c r="I251" s="25"/>
    </row>
    <row r="252" spans="2:9" s="9" customFormat="1">
      <c r="B252" s="25"/>
      <c r="C252" s="25"/>
      <c r="D252" s="25"/>
      <c r="E252" s="25"/>
      <c r="F252" s="25"/>
      <c r="H252" s="8"/>
      <c r="I252" s="25"/>
    </row>
    <row r="253" spans="2:9" s="9" customFormat="1">
      <c r="B253" s="25"/>
      <c r="C253" s="25"/>
      <c r="D253" s="25"/>
      <c r="E253" s="25"/>
      <c r="F253" s="25"/>
      <c r="H253" s="8"/>
      <c r="I253" s="25"/>
    </row>
    <row r="254" spans="2:9" s="9" customFormat="1">
      <c r="B254" s="25"/>
      <c r="C254" s="25"/>
      <c r="D254" s="25"/>
      <c r="E254" s="25"/>
      <c r="F254" s="25"/>
      <c r="H254" s="8"/>
      <c r="I254" s="25"/>
    </row>
    <row r="255" spans="2:9" s="9" customFormat="1">
      <c r="B255" s="25"/>
      <c r="C255" s="25"/>
      <c r="D255" s="25"/>
      <c r="E255" s="25"/>
      <c r="F255" s="25"/>
      <c r="H255" s="8"/>
      <c r="I255" s="25"/>
    </row>
    <row r="256" spans="2:9" s="9" customFormat="1">
      <c r="B256" s="25"/>
      <c r="C256" s="25"/>
      <c r="D256" s="25"/>
      <c r="E256" s="25"/>
      <c r="F256" s="25"/>
      <c r="H256" s="8"/>
      <c r="I256" s="25"/>
    </row>
    <row r="257" spans="2:9" s="9" customFormat="1">
      <c r="B257" s="25"/>
      <c r="C257" s="25"/>
      <c r="D257" s="25"/>
      <c r="E257" s="25"/>
      <c r="F257" s="25"/>
      <c r="H257" s="8"/>
      <c r="I257" s="25"/>
    </row>
    <row r="258" spans="2:9" s="9" customFormat="1">
      <c r="B258" s="25"/>
      <c r="C258" s="25"/>
      <c r="D258" s="25"/>
      <c r="E258" s="25"/>
      <c r="F258" s="25"/>
      <c r="H258" s="8"/>
      <c r="I258" s="25"/>
    </row>
    <row r="259" spans="2:9" s="9" customFormat="1">
      <c r="B259" s="25"/>
      <c r="C259" s="25"/>
      <c r="D259" s="25"/>
      <c r="E259" s="25"/>
      <c r="F259" s="25"/>
      <c r="H259" s="8"/>
      <c r="I259" s="25"/>
    </row>
    <row r="260" spans="2:9" s="9" customFormat="1">
      <c r="B260" s="25"/>
      <c r="C260" s="25"/>
      <c r="D260" s="25"/>
      <c r="E260" s="25"/>
      <c r="F260" s="25"/>
      <c r="H260" s="8"/>
      <c r="I260" s="25"/>
    </row>
    <row r="261" spans="2:9" s="9" customFormat="1">
      <c r="B261" s="25"/>
      <c r="C261" s="25"/>
      <c r="D261" s="25"/>
      <c r="E261" s="25"/>
      <c r="F261" s="25"/>
      <c r="H261" s="8"/>
      <c r="I261" s="25"/>
    </row>
    <row r="262" spans="2:9" s="9" customFormat="1">
      <c r="B262" s="25"/>
      <c r="C262" s="25"/>
      <c r="D262" s="25"/>
      <c r="E262" s="25"/>
      <c r="F262" s="25"/>
      <c r="H262" s="8"/>
      <c r="I262" s="25"/>
    </row>
    <row r="263" spans="2:9" s="9" customFormat="1">
      <c r="B263" s="25"/>
      <c r="C263" s="25"/>
      <c r="D263" s="25"/>
      <c r="E263" s="25"/>
      <c r="F263" s="25"/>
      <c r="H263" s="8"/>
      <c r="I263" s="25"/>
    </row>
    <row r="264" spans="2:9" s="9" customFormat="1">
      <c r="B264" s="25"/>
      <c r="C264" s="25"/>
      <c r="D264" s="25"/>
      <c r="E264" s="25"/>
      <c r="F264" s="25"/>
      <c r="H264" s="8"/>
      <c r="I264" s="25"/>
    </row>
    <row r="265" spans="2:9" s="9" customFormat="1">
      <c r="B265" s="25"/>
      <c r="C265" s="25"/>
      <c r="D265" s="25"/>
      <c r="E265" s="25"/>
      <c r="F265" s="25"/>
      <c r="H265" s="8"/>
      <c r="I265" s="25"/>
    </row>
    <row r="266" spans="2:9" s="9" customFormat="1">
      <c r="B266" s="25"/>
      <c r="C266" s="25"/>
      <c r="D266" s="25"/>
      <c r="E266" s="25"/>
      <c r="F266" s="25"/>
      <c r="H266" s="8"/>
      <c r="I266" s="25"/>
    </row>
    <row r="267" spans="2:9" s="9" customFormat="1">
      <c r="B267" s="25"/>
      <c r="C267" s="25"/>
      <c r="D267" s="25"/>
      <c r="E267" s="25"/>
      <c r="F267" s="25"/>
      <c r="H267" s="8"/>
      <c r="I267" s="25"/>
    </row>
    <row r="268" spans="2:9" s="9" customFormat="1">
      <c r="B268" s="25"/>
      <c r="C268" s="25"/>
      <c r="D268" s="25"/>
      <c r="E268" s="25"/>
      <c r="F268" s="25"/>
      <c r="H268" s="8"/>
      <c r="I268" s="25"/>
    </row>
    <row r="269" spans="2:9" s="9" customFormat="1">
      <c r="B269" s="25"/>
      <c r="C269" s="25"/>
      <c r="D269" s="25"/>
      <c r="E269" s="25"/>
      <c r="F269" s="25"/>
      <c r="H269" s="8"/>
      <c r="I269" s="25"/>
    </row>
    <row r="270" spans="2:9" s="9" customFormat="1">
      <c r="B270" s="25"/>
      <c r="C270" s="25"/>
      <c r="D270" s="25"/>
      <c r="E270" s="25"/>
      <c r="F270" s="25"/>
      <c r="H270" s="8"/>
      <c r="I270" s="25"/>
    </row>
    <row r="271" spans="2:9" s="9" customFormat="1">
      <c r="B271" s="25"/>
      <c r="C271" s="25"/>
      <c r="D271" s="25"/>
      <c r="E271" s="25"/>
      <c r="F271" s="25"/>
      <c r="H271" s="8"/>
      <c r="I271" s="25"/>
    </row>
    <row r="272" spans="2:9" s="9" customFormat="1">
      <c r="B272" s="25"/>
      <c r="C272" s="25"/>
      <c r="D272" s="25"/>
      <c r="E272" s="25"/>
      <c r="F272" s="25"/>
      <c r="H272" s="8"/>
      <c r="I272" s="25"/>
    </row>
    <row r="273" spans="2:9" s="9" customFormat="1">
      <c r="B273" s="25"/>
      <c r="C273" s="25"/>
      <c r="D273" s="25"/>
      <c r="E273" s="25"/>
      <c r="F273" s="25"/>
      <c r="H273" s="8"/>
      <c r="I273" s="25"/>
    </row>
    <row r="274" spans="2:9" s="9" customFormat="1">
      <c r="B274" s="25"/>
      <c r="C274" s="25"/>
      <c r="D274" s="25"/>
      <c r="E274" s="25"/>
      <c r="F274" s="25"/>
      <c r="H274" s="8"/>
      <c r="I274" s="25"/>
    </row>
    <row r="275" spans="2:9" s="9" customFormat="1">
      <c r="B275" s="25"/>
      <c r="C275" s="25"/>
      <c r="D275" s="25"/>
      <c r="E275" s="25"/>
      <c r="F275" s="25"/>
      <c r="H275" s="8"/>
      <c r="I275" s="25"/>
    </row>
    <row r="276" spans="2:9" s="9" customFormat="1">
      <c r="B276" s="25"/>
      <c r="C276" s="25"/>
      <c r="D276" s="25"/>
      <c r="E276" s="25"/>
      <c r="F276" s="25"/>
      <c r="H276" s="8"/>
      <c r="I276" s="25"/>
    </row>
    <row r="277" spans="2:9" s="9" customFormat="1">
      <c r="B277" s="25"/>
      <c r="C277" s="25"/>
      <c r="D277" s="25"/>
      <c r="E277" s="25"/>
      <c r="F277" s="25"/>
      <c r="H277" s="8"/>
      <c r="I277" s="25"/>
    </row>
    <row r="278" spans="2:9" s="9" customFormat="1">
      <c r="B278" s="25"/>
      <c r="C278" s="25"/>
      <c r="D278" s="25"/>
      <c r="E278" s="25"/>
      <c r="F278" s="25"/>
      <c r="H278" s="8"/>
      <c r="I278" s="25"/>
    </row>
    <row r="279" spans="2:9" s="9" customFormat="1">
      <c r="B279" s="25"/>
      <c r="C279" s="25"/>
      <c r="D279" s="25"/>
      <c r="E279" s="25"/>
      <c r="F279" s="25"/>
      <c r="H279" s="8"/>
      <c r="I279" s="25"/>
    </row>
    <row r="280" spans="2:9" s="9" customFormat="1">
      <c r="B280" s="25"/>
      <c r="C280" s="25"/>
      <c r="D280" s="25"/>
      <c r="E280" s="25"/>
      <c r="F280" s="25"/>
      <c r="H280" s="8"/>
      <c r="I280" s="25"/>
    </row>
    <row r="281" spans="2:9" s="9" customFormat="1">
      <c r="B281" s="25"/>
      <c r="C281" s="25"/>
      <c r="D281" s="25"/>
      <c r="E281" s="25"/>
      <c r="F281" s="25"/>
      <c r="H281" s="8"/>
      <c r="I281" s="25"/>
    </row>
    <row r="282" spans="2:9" s="9" customFormat="1">
      <c r="B282" s="25"/>
      <c r="C282" s="25"/>
      <c r="D282" s="25"/>
      <c r="E282" s="25"/>
      <c r="F282" s="25"/>
      <c r="H282" s="8"/>
      <c r="I282" s="25"/>
    </row>
    <row r="283" spans="2:9" s="9" customFormat="1">
      <c r="B283" s="25"/>
      <c r="C283" s="25"/>
      <c r="D283" s="25"/>
      <c r="E283" s="25"/>
      <c r="F283" s="25"/>
      <c r="H283" s="8"/>
      <c r="I283" s="25"/>
    </row>
    <row r="284" spans="2:9" s="9" customFormat="1">
      <c r="B284" s="25"/>
      <c r="C284" s="25"/>
      <c r="D284" s="25"/>
      <c r="E284" s="25"/>
      <c r="F284" s="25"/>
      <c r="H284" s="8"/>
      <c r="I284" s="25"/>
    </row>
    <row r="285" spans="2:9" s="9" customFormat="1">
      <c r="B285" s="25"/>
      <c r="C285" s="25"/>
      <c r="D285" s="25"/>
      <c r="E285" s="25"/>
      <c r="F285" s="25"/>
      <c r="H285" s="8"/>
      <c r="I285" s="25"/>
    </row>
    <row r="286" spans="2:9" s="9" customFormat="1">
      <c r="B286" s="25"/>
      <c r="C286" s="25"/>
      <c r="D286" s="25"/>
      <c r="E286" s="25"/>
      <c r="F286" s="25"/>
      <c r="H286" s="8"/>
      <c r="I286" s="25"/>
    </row>
    <row r="287" spans="2:9" s="9" customFormat="1">
      <c r="B287" s="25"/>
      <c r="C287" s="25"/>
      <c r="D287" s="25"/>
      <c r="E287" s="25"/>
      <c r="F287" s="25"/>
      <c r="H287" s="8"/>
      <c r="I287" s="25"/>
    </row>
    <row r="288" spans="2:9" s="9" customFormat="1">
      <c r="B288" s="25"/>
      <c r="C288" s="25"/>
      <c r="D288" s="25"/>
      <c r="E288" s="25"/>
      <c r="F288" s="25"/>
      <c r="H288" s="8"/>
      <c r="I288" s="25"/>
    </row>
    <row r="289" spans="2:9" s="9" customFormat="1">
      <c r="B289" s="25"/>
      <c r="C289" s="25"/>
      <c r="D289" s="25"/>
      <c r="E289" s="25"/>
      <c r="F289" s="25"/>
      <c r="H289" s="8"/>
      <c r="I289" s="25"/>
    </row>
    <row r="290" spans="2:9" s="9" customFormat="1">
      <c r="B290" s="25"/>
      <c r="C290" s="25"/>
      <c r="D290" s="25"/>
      <c r="E290" s="25"/>
      <c r="F290" s="25"/>
      <c r="H290" s="8"/>
      <c r="I290" s="25"/>
    </row>
    <row r="291" spans="2:9" s="9" customFormat="1">
      <c r="B291" s="25"/>
      <c r="C291" s="25"/>
      <c r="D291" s="25"/>
      <c r="E291" s="25"/>
      <c r="F291" s="25"/>
      <c r="H291" s="8"/>
      <c r="I291" s="25"/>
    </row>
    <row r="292" spans="2:9" s="9" customFormat="1">
      <c r="B292" s="25"/>
      <c r="C292" s="25"/>
      <c r="D292" s="25"/>
      <c r="E292" s="25"/>
      <c r="F292" s="25"/>
      <c r="H292" s="8"/>
      <c r="I292" s="25"/>
    </row>
    <row r="293" spans="2:9" s="9" customFormat="1">
      <c r="B293" s="25"/>
      <c r="C293" s="25"/>
      <c r="D293" s="25"/>
      <c r="E293" s="25"/>
      <c r="F293" s="25"/>
      <c r="H293" s="8"/>
      <c r="I293" s="25"/>
    </row>
    <row r="294" spans="2:9" s="9" customFormat="1">
      <c r="B294" s="25"/>
      <c r="C294" s="25"/>
      <c r="D294" s="25"/>
      <c r="E294" s="25"/>
      <c r="F294" s="25"/>
      <c r="H294" s="8"/>
      <c r="I294" s="25"/>
    </row>
    <row r="295" spans="2:9" s="9" customFormat="1">
      <c r="B295" s="25"/>
      <c r="C295" s="25"/>
      <c r="D295" s="25"/>
      <c r="E295" s="25"/>
      <c r="F295" s="25"/>
      <c r="H295" s="8"/>
      <c r="I295" s="25"/>
    </row>
    <row r="296" spans="2:9" s="9" customFormat="1">
      <c r="B296" s="25"/>
      <c r="C296" s="25"/>
      <c r="D296" s="25"/>
      <c r="E296" s="25"/>
      <c r="F296" s="25"/>
      <c r="H296" s="8"/>
      <c r="I296" s="25"/>
    </row>
    <row r="297" spans="2:9" s="9" customFormat="1">
      <c r="B297" s="25"/>
      <c r="C297" s="25"/>
      <c r="D297" s="25"/>
      <c r="E297" s="25"/>
      <c r="F297" s="25"/>
      <c r="H297" s="8"/>
      <c r="I297" s="25"/>
    </row>
    <row r="298" spans="2:9" s="9" customFormat="1">
      <c r="B298" s="25"/>
      <c r="C298" s="25"/>
      <c r="D298" s="25"/>
      <c r="E298" s="25"/>
      <c r="F298" s="25"/>
      <c r="H298" s="8"/>
      <c r="I298" s="25"/>
    </row>
    <row r="299" spans="2:9" s="9" customFormat="1">
      <c r="B299" s="25"/>
      <c r="C299" s="25"/>
      <c r="D299" s="25"/>
      <c r="E299" s="25"/>
      <c r="F299" s="25"/>
      <c r="H299" s="8"/>
      <c r="I299" s="25"/>
    </row>
    <row r="300" spans="2:9" s="9" customFormat="1">
      <c r="B300" s="25"/>
      <c r="C300" s="25"/>
      <c r="D300" s="25"/>
      <c r="E300" s="25"/>
      <c r="F300" s="25"/>
      <c r="H300" s="8"/>
      <c r="I300" s="25"/>
    </row>
    <row r="301" spans="2:9" s="9" customFormat="1">
      <c r="B301" s="25"/>
      <c r="C301" s="25"/>
      <c r="D301" s="25"/>
      <c r="E301" s="25"/>
      <c r="F301" s="25"/>
      <c r="H301" s="8"/>
      <c r="I301" s="25"/>
    </row>
    <row r="302" spans="2:9" s="9" customFormat="1">
      <c r="B302" s="25"/>
      <c r="C302" s="25"/>
      <c r="D302" s="25"/>
      <c r="E302" s="25"/>
      <c r="F302" s="25"/>
      <c r="H302" s="8"/>
      <c r="I302" s="25"/>
    </row>
    <row r="303" spans="2:9" s="9" customFormat="1">
      <c r="B303" s="25"/>
      <c r="C303" s="25"/>
      <c r="D303" s="25"/>
      <c r="E303" s="25"/>
      <c r="F303" s="25"/>
      <c r="H303" s="8"/>
      <c r="I303" s="25"/>
    </row>
    <row r="304" spans="2:9" s="9" customFormat="1">
      <c r="B304" s="25"/>
      <c r="C304" s="25"/>
      <c r="D304" s="25"/>
      <c r="E304" s="25"/>
      <c r="F304" s="25"/>
      <c r="H304" s="8"/>
      <c r="I304" s="25"/>
    </row>
    <row r="305" spans="2:9" s="9" customFormat="1">
      <c r="B305" s="25"/>
      <c r="C305" s="25"/>
      <c r="D305" s="25"/>
      <c r="E305" s="25"/>
      <c r="F305" s="25"/>
      <c r="H305" s="8"/>
      <c r="I305" s="25"/>
    </row>
    <row r="306" spans="2:9" s="9" customFormat="1">
      <c r="B306" s="25"/>
      <c r="C306" s="25"/>
      <c r="D306" s="25"/>
      <c r="E306" s="25"/>
      <c r="F306" s="25"/>
      <c r="H306" s="8"/>
      <c r="I306" s="25"/>
    </row>
    <row r="307" spans="2:9" s="9" customFormat="1">
      <c r="B307" s="25"/>
      <c r="C307" s="25"/>
      <c r="D307" s="25"/>
      <c r="E307" s="25"/>
      <c r="F307" s="25"/>
      <c r="H307" s="8"/>
      <c r="I307" s="25"/>
    </row>
    <row r="308" spans="2:9" s="9" customFormat="1">
      <c r="B308" s="25"/>
      <c r="C308" s="25"/>
      <c r="D308" s="25"/>
      <c r="E308" s="25"/>
      <c r="F308" s="25"/>
      <c r="H308" s="8"/>
      <c r="I308" s="25"/>
    </row>
    <row r="309" spans="2:9" s="9" customFormat="1">
      <c r="B309" s="25"/>
      <c r="C309" s="25"/>
      <c r="D309" s="25"/>
      <c r="E309" s="25"/>
      <c r="F309" s="25"/>
      <c r="H309" s="8"/>
      <c r="I309" s="25"/>
    </row>
    <row r="310" spans="2:9" s="9" customFormat="1">
      <c r="B310" s="25"/>
      <c r="C310" s="25"/>
      <c r="D310" s="25"/>
      <c r="E310" s="25"/>
      <c r="F310" s="25"/>
      <c r="H310" s="8"/>
      <c r="I310" s="25"/>
    </row>
    <row r="311" spans="2:9" s="9" customFormat="1">
      <c r="B311" s="25"/>
      <c r="C311" s="25"/>
      <c r="D311" s="25"/>
      <c r="E311" s="25"/>
      <c r="F311" s="25"/>
      <c r="H311" s="8"/>
      <c r="I311" s="25"/>
    </row>
    <row r="312" spans="2:9" s="9" customFormat="1">
      <c r="B312" s="25"/>
      <c r="C312" s="25"/>
      <c r="D312" s="25"/>
      <c r="E312" s="25"/>
      <c r="F312" s="25"/>
      <c r="H312" s="8"/>
      <c r="I312" s="25"/>
    </row>
    <row r="313" spans="2:9" s="9" customFormat="1">
      <c r="B313" s="25"/>
      <c r="C313" s="25"/>
      <c r="D313" s="25"/>
      <c r="E313" s="25"/>
      <c r="F313" s="25"/>
      <c r="H313" s="8"/>
      <c r="I313" s="25"/>
    </row>
    <row r="314" spans="2:9" s="9" customFormat="1">
      <c r="B314" s="25"/>
      <c r="C314" s="25"/>
      <c r="D314" s="25"/>
      <c r="E314" s="25"/>
      <c r="F314" s="25"/>
      <c r="H314" s="8"/>
      <c r="I314" s="25"/>
    </row>
    <row r="315" spans="2:9" s="9" customFormat="1">
      <c r="B315" s="25"/>
      <c r="C315" s="25"/>
      <c r="D315" s="25"/>
      <c r="E315" s="25"/>
      <c r="F315" s="25"/>
      <c r="H315" s="8"/>
      <c r="I315" s="25"/>
    </row>
    <row r="316" spans="2:9" s="9" customFormat="1">
      <c r="B316" s="25"/>
      <c r="C316" s="25"/>
      <c r="D316" s="25"/>
      <c r="E316" s="25"/>
      <c r="F316" s="25"/>
      <c r="H316" s="8"/>
      <c r="I316" s="25"/>
    </row>
    <row r="317" spans="2:9" s="9" customFormat="1">
      <c r="B317" s="25"/>
      <c r="C317" s="25"/>
      <c r="D317" s="25"/>
      <c r="E317" s="25"/>
      <c r="F317" s="25"/>
      <c r="H317" s="8"/>
      <c r="I317" s="25"/>
    </row>
    <row r="318" spans="2:9" s="9" customFormat="1">
      <c r="B318" s="25"/>
      <c r="C318" s="25"/>
      <c r="D318" s="25"/>
      <c r="E318" s="25"/>
      <c r="F318" s="25"/>
      <c r="H318" s="8"/>
      <c r="I318" s="25"/>
    </row>
    <row r="319" spans="2:9" s="9" customFormat="1">
      <c r="B319" s="25"/>
      <c r="C319" s="25"/>
      <c r="D319" s="25"/>
      <c r="E319" s="25"/>
      <c r="F319" s="25"/>
      <c r="H319" s="8"/>
      <c r="I319" s="25"/>
    </row>
    <row r="320" spans="2:9" s="9" customFormat="1">
      <c r="B320" s="25"/>
      <c r="C320" s="25"/>
      <c r="D320" s="25"/>
      <c r="E320" s="25"/>
      <c r="F320" s="25"/>
      <c r="H320" s="8"/>
      <c r="I320" s="25"/>
    </row>
    <row r="321" spans="2:9" s="9" customFormat="1">
      <c r="B321" s="25"/>
      <c r="C321" s="25"/>
      <c r="D321" s="25"/>
      <c r="E321" s="25"/>
      <c r="F321" s="25"/>
      <c r="H321" s="8"/>
      <c r="I321" s="25"/>
    </row>
    <row r="322" spans="2:9" s="9" customFormat="1">
      <c r="B322" s="25"/>
      <c r="C322" s="25"/>
      <c r="D322" s="25"/>
      <c r="E322" s="25"/>
      <c r="F322" s="25"/>
      <c r="H322" s="8"/>
      <c r="I322" s="25"/>
    </row>
    <row r="323" spans="2:9" s="9" customFormat="1">
      <c r="B323" s="25"/>
      <c r="C323" s="25"/>
      <c r="D323" s="25"/>
      <c r="E323" s="25"/>
      <c r="F323" s="25"/>
      <c r="H323" s="8"/>
      <c r="I323" s="25"/>
    </row>
    <row r="324" spans="2:9" s="9" customFormat="1">
      <c r="B324" s="25"/>
      <c r="C324" s="25"/>
      <c r="D324" s="25"/>
      <c r="E324" s="25"/>
      <c r="F324" s="25"/>
      <c r="H324" s="8"/>
      <c r="I324" s="25"/>
    </row>
    <row r="325" spans="2:9" s="9" customFormat="1">
      <c r="B325" s="25"/>
      <c r="C325" s="25"/>
      <c r="D325" s="25"/>
      <c r="E325" s="25"/>
      <c r="F325" s="25"/>
      <c r="H325" s="8"/>
      <c r="I325" s="25"/>
    </row>
    <row r="326" spans="2:9" s="9" customFormat="1">
      <c r="B326" s="25"/>
      <c r="C326" s="25"/>
      <c r="D326" s="25"/>
      <c r="E326" s="25"/>
      <c r="F326" s="25"/>
      <c r="H326" s="8"/>
      <c r="I326" s="25"/>
    </row>
    <row r="327" spans="2:9" s="9" customFormat="1">
      <c r="B327" s="25"/>
      <c r="C327" s="25"/>
      <c r="D327" s="25"/>
      <c r="E327" s="25"/>
      <c r="F327" s="25"/>
      <c r="H327" s="8"/>
      <c r="I327" s="25"/>
    </row>
    <row r="328" spans="2:9" s="9" customFormat="1">
      <c r="B328" s="25"/>
      <c r="C328" s="25"/>
      <c r="D328" s="25"/>
      <c r="E328" s="25"/>
      <c r="F328" s="25"/>
      <c r="H328" s="8"/>
      <c r="I328" s="25"/>
    </row>
    <row r="329" spans="2:9" s="9" customFormat="1">
      <c r="B329" s="25"/>
      <c r="C329" s="25"/>
      <c r="D329" s="25"/>
      <c r="E329" s="25"/>
      <c r="F329" s="25"/>
      <c r="H329" s="8"/>
      <c r="I329" s="25"/>
    </row>
    <row r="330" spans="2:9" s="9" customFormat="1">
      <c r="B330" s="25"/>
      <c r="C330" s="25"/>
      <c r="D330" s="25"/>
      <c r="E330" s="25"/>
      <c r="F330" s="25"/>
      <c r="H330" s="8"/>
      <c r="I330" s="25"/>
    </row>
    <row r="331" spans="2:9" s="9" customFormat="1">
      <c r="B331" s="25"/>
      <c r="C331" s="25"/>
      <c r="D331" s="25"/>
      <c r="E331" s="25"/>
      <c r="F331" s="25"/>
      <c r="H331" s="8"/>
      <c r="I331" s="25"/>
    </row>
    <row r="332" spans="2:9" s="9" customFormat="1">
      <c r="B332" s="25"/>
      <c r="C332" s="25"/>
      <c r="D332" s="25"/>
      <c r="E332" s="25"/>
      <c r="F332" s="25"/>
      <c r="H332" s="8"/>
      <c r="I332" s="25"/>
    </row>
    <row r="333" spans="2:9" s="9" customFormat="1">
      <c r="B333" s="25"/>
      <c r="C333" s="25"/>
      <c r="D333" s="25"/>
      <c r="E333" s="25"/>
      <c r="F333" s="25"/>
      <c r="H333" s="8"/>
      <c r="I333" s="25"/>
    </row>
    <row r="334" spans="2:9" s="9" customFormat="1">
      <c r="B334" s="25"/>
      <c r="C334" s="25"/>
      <c r="D334" s="25"/>
      <c r="E334" s="25"/>
      <c r="F334" s="25"/>
      <c r="H334" s="8"/>
      <c r="I334" s="25"/>
    </row>
    <row r="335" spans="2:9" s="9" customFormat="1">
      <c r="B335" s="25"/>
      <c r="C335" s="25"/>
      <c r="D335" s="25"/>
      <c r="E335" s="25"/>
      <c r="F335" s="25"/>
      <c r="H335" s="8"/>
      <c r="I335" s="25"/>
    </row>
    <row r="336" spans="2:9" s="9" customFormat="1">
      <c r="B336" s="25"/>
      <c r="C336" s="25"/>
      <c r="D336" s="25"/>
      <c r="E336" s="25"/>
      <c r="F336" s="25"/>
      <c r="H336" s="8"/>
      <c r="I336" s="25"/>
    </row>
    <row r="337" spans="2:9" s="9" customFormat="1">
      <c r="B337" s="25"/>
      <c r="C337" s="25"/>
      <c r="D337" s="25"/>
      <c r="E337" s="25"/>
      <c r="F337" s="25"/>
      <c r="H337" s="8"/>
      <c r="I337" s="25"/>
    </row>
    <row r="338" spans="2:9" s="9" customFormat="1">
      <c r="B338" s="25"/>
      <c r="C338" s="25"/>
      <c r="D338" s="25"/>
      <c r="E338" s="25"/>
      <c r="F338" s="25"/>
      <c r="H338" s="8"/>
      <c r="I338" s="25"/>
    </row>
    <row r="339" spans="2:9" s="9" customFormat="1">
      <c r="B339" s="25"/>
      <c r="C339" s="25"/>
      <c r="D339" s="25"/>
      <c r="E339" s="25"/>
      <c r="F339" s="25"/>
      <c r="H339" s="8"/>
      <c r="I339" s="25"/>
    </row>
    <row r="340" spans="2:9" s="9" customFormat="1">
      <c r="B340" s="25"/>
      <c r="C340" s="25"/>
      <c r="D340" s="25"/>
      <c r="E340" s="25"/>
      <c r="F340" s="25"/>
      <c r="H340" s="8"/>
      <c r="I340" s="25"/>
    </row>
    <row r="341" spans="2:9" s="9" customFormat="1">
      <c r="B341" s="25"/>
      <c r="C341" s="25"/>
      <c r="D341" s="25"/>
      <c r="E341" s="25"/>
      <c r="F341" s="25"/>
      <c r="H341" s="8"/>
      <c r="I341" s="25"/>
    </row>
    <row r="342" spans="2:9" s="9" customFormat="1">
      <c r="B342" s="25"/>
      <c r="C342" s="25"/>
      <c r="D342" s="25"/>
      <c r="E342" s="25"/>
      <c r="F342" s="25"/>
      <c r="H342" s="8"/>
      <c r="I342" s="25"/>
    </row>
    <row r="343" spans="2:9" s="9" customFormat="1">
      <c r="B343" s="25"/>
      <c r="C343" s="25"/>
      <c r="D343" s="25"/>
      <c r="E343" s="25"/>
      <c r="F343" s="25"/>
      <c r="H343" s="8"/>
      <c r="I343" s="25"/>
    </row>
    <row r="344" spans="2:9" s="9" customFormat="1">
      <c r="B344" s="25"/>
      <c r="C344" s="25"/>
      <c r="D344" s="25"/>
      <c r="E344" s="25"/>
      <c r="F344" s="25"/>
      <c r="H344" s="8"/>
      <c r="I344" s="25"/>
    </row>
    <row r="345" spans="2:9" s="9" customFormat="1">
      <c r="B345" s="25"/>
      <c r="C345" s="25"/>
      <c r="D345" s="25"/>
      <c r="E345" s="25"/>
      <c r="F345" s="25"/>
      <c r="H345" s="8"/>
      <c r="I345" s="25"/>
    </row>
    <row r="346" spans="2:9" s="9" customFormat="1">
      <c r="B346" s="25"/>
      <c r="C346" s="25"/>
      <c r="D346" s="25"/>
      <c r="E346" s="25"/>
      <c r="F346" s="25"/>
      <c r="H346" s="8"/>
      <c r="I346" s="25"/>
    </row>
    <row r="347" spans="2:9" s="9" customFormat="1">
      <c r="B347" s="25"/>
      <c r="C347" s="25"/>
      <c r="D347" s="25"/>
      <c r="E347" s="25"/>
      <c r="F347" s="25"/>
      <c r="H347" s="8"/>
      <c r="I347" s="25"/>
    </row>
    <row r="348" spans="2:9" s="9" customFormat="1">
      <c r="B348" s="25"/>
      <c r="C348" s="25"/>
      <c r="D348" s="25"/>
      <c r="E348" s="25"/>
      <c r="F348" s="25"/>
      <c r="H348" s="8"/>
      <c r="I348" s="25"/>
    </row>
    <row r="349" spans="2:9" s="9" customFormat="1">
      <c r="B349" s="25"/>
      <c r="C349" s="25"/>
      <c r="D349" s="25"/>
      <c r="E349" s="25"/>
      <c r="F349" s="25"/>
      <c r="H349" s="8"/>
      <c r="I349" s="25"/>
    </row>
    <row r="350" spans="2:9" s="9" customFormat="1">
      <c r="B350" s="25"/>
      <c r="C350" s="25"/>
      <c r="D350" s="25"/>
      <c r="E350" s="25"/>
      <c r="F350" s="25"/>
      <c r="H350" s="8"/>
      <c r="I350" s="25"/>
    </row>
    <row r="351" spans="2:9" s="9" customFormat="1">
      <c r="B351" s="25"/>
      <c r="C351" s="25"/>
      <c r="D351" s="25"/>
      <c r="E351" s="25"/>
      <c r="F351" s="25"/>
      <c r="H351" s="8"/>
      <c r="I351" s="25"/>
    </row>
    <row r="352" spans="2:9" s="9" customFormat="1">
      <c r="B352" s="25"/>
      <c r="C352" s="25"/>
      <c r="D352" s="25"/>
      <c r="E352" s="25"/>
      <c r="F352" s="25"/>
      <c r="H352" s="8"/>
      <c r="I352" s="25"/>
    </row>
    <row r="353" spans="2:9" s="9" customFormat="1">
      <c r="B353" s="25"/>
      <c r="C353" s="25"/>
      <c r="D353" s="25"/>
      <c r="E353" s="25"/>
      <c r="F353" s="25"/>
      <c r="H353" s="8"/>
      <c r="I353" s="25"/>
    </row>
    <row r="354" spans="2:9" s="9" customFormat="1">
      <c r="B354" s="25"/>
      <c r="C354" s="25"/>
      <c r="D354" s="25"/>
      <c r="E354" s="25"/>
      <c r="F354" s="25"/>
      <c r="H354" s="8"/>
      <c r="I354" s="25"/>
    </row>
    <row r="355" spans="2:9" s="9" customFormat="1">
      <c r="B355" s="25"/>
      <c r="C355" s="25"/>
      <c r="D355" s="25"/>
      <c r="E355" s="25"/>
      <c r="F355" s="25"/>
      <c r="H355" s="8"/>
      <c r="I355" s="25"/>
    </row>
    <row r="356" spans="2:9" s="9" customFormat="1">
      <c r="B356" s="25"/>
      <c r="C356" s="25"/>
      <c r="D356" s="25"/>
      <c r="E356" s="25"/>
      <c r="F356" s="25"/>
      <c r="H356" s="8"/>
      <c r="I356" s="25"/>
    </row>
    <row r="357" spans="2:9" s="9" customFormat="1">
      <c r="B357" s="25"/>
      <c r="C357" s="25"/>
      <c r="D357" s="25"/>
      <c r="E357" s="25"/>
      <c r="F357" s="25"/>
      <c r="H357" s="8"/>
      <c r="I357" s="25"/>
    </row>
    <row r="358" spans="2:9" s="9" customFormat="1">
      <c r="B358" s="25"/>
      <c r="C358" s="25"/>
      <c r="D358" s="25"/>
      <c r="E358" s="25"/>
      <c r="F358" s="25"/>
      <c r="H358" s="8"/>
      <c r="I358" s="25"/>
    </row>
    <row r="359" spans="2:9" s="9" customFormat="1">
      <c r="B359" s="25"/>
      <c r="C359" s="25"/>
      <c r="D359" s="25"/>
      <c r="E359" s="25"/>
      <c r="F359" s="25"/>
      <c r="H359" s="8"/>
      <c r="I359" s="25"/>
    </row>
    <row r="360" spans="2:9" s="9" customFormat="1">
      <c r="B360" s="25"/>
      <c r="C360" s="25"/>
      <c r="D360" s="25"/>
      <c r="E360" s="25"/>
      <c r="F360" s="25"/>
      <c r="H360" s="8"/>
      <c r="I360" s="25"/>
    </row>
    <row r="361" spans="2:9" s="9" customFormat="1">
      <c r="B361" s="25"/>
      <c r="C361" s="25"/>
      <c r="D361" s="25"/>
      <c r="E361" s="25"/>
      <c r="F361" s="25"/>
      <c r="H361" s="8"/>
      <c r="I361" s="25"/>
    </row>
    <row r="362" spans="2:9" s="9" customFormat="1">
      <c r="B362" s="25"/>
      <c r="C362" s="25"/>
      <c r="D362" s="25"/>
      <c r="E362" s="25"/>
      <c r="F362" s="25"/>
      <c r="H362" s="8"/>
      <c r="I362" s="25"/>
    </row>
    <row r="363" spans="2:9" s="9" customFormat="1">
      <c r="B363" s="25"/>
      <c r="C363" s="25"/>
      <c r="D363" s="25"/>
      <c r="E363" s="25"/>
      <c r="F363" s="25"/>
      <c r="H363" s="8"/>
      <c r="I363" s="25"/>
    </row>
    <row r="364" spans="2:9" s="9" customFormat="1">
      <c r="B364" s="25"/>
      <c r="C364" s="25"/>
      <c r="D364" s="25"/>
      <c r="E364" s="25"/>
      <c r="F364" s="25"/>
      <c r="H364" s="8"/>
      <c r="I364" s="25"/>
    </row>
    <row r="365" spans="2:9" s="9" customFormat="1">
      <c r="B365" s="25"/>
      <c r="C365" s="25"/>
      <c r="D365" s="25"/>
      <c r="E365" s="25"/>
      <c r="F365" s="25"/>
      <c r="H365" s="8"/>
      <c r="I365" s="25"/>
    </row>
    <row r="366" spans="2:9" s="9" customFormat="1">
      <c r="B366" s="25"/>
      <c r="C366" s="25"/>
      <c r="D366" s="25"/>
      <c r="E366" s="25"/>
      <c r="F366" s="25"/>
      <c r="H366" s="8"/>
      <c r="I366" s="25"/>
    </row>
    <row r="367" spans="2:9" s="9" customFormat="1">
      <c r="B367" s="25"/>
      <c r="C367" s="25"/>
      <c r="D367" s="25"/>
      <c r="E367" s="25"/>
      <c r="F367" s="25"/>
      <c r="H367" s="8"/>
      <c r="I367" s="25"/>
    </row>
    <row r="368" spans="2:9" s="9" customFormat="1">
      <c r="B368" s="25"/>
      <c r="C368" s="25"/>
      <c r="D368" s="25"/>
      <c r="E368" s="25"/>
      <c r="F368" s="25"/>
      <c r="H368" s="8"/>
      <c r="I368" s="25"/>
    </row>
    <row r="369" spans="2:9" s="9" customFormat="1">
      <c r="B369" s="25"/>
      <c r="C369" s="25"/>
      <c r="D369" s="25"/>
      <c r="E369" s="25"/>
      <c r="F369" s="25"/>
      <c r="H369" s="8"/>
      <c r="I369" s="25"/>
    </row>
    <row r="370" spans="2:9" s="9" customFormat="1">
      <c r="B370" s="25"/>
      <c r="C370" s="25"/>
      <c r="D370" s="25"/>
      <c r="E370" s="25"/>
      <c r="F370" s="25"/>
      <c r="H370" s="8"/>
      <c r="I370" s="25"/>
    </row>
    <row r="371" spans="2:9" s="9" customFormat="1">
      <c r="B371" s="25"/>
      <c r="C371" s="25"/>
      <c r="D371" s="25"/>
      <c r="E371" s="25"/>
      <c r="F371" s="25"/>
      <c r="H371" s="8"/>
      <c r="I371" s="25"/>
    </row>
    <row r="372" spans="2:9" s="9" customFormat="1">
      <c r="B372" s="25"/>
      <c r="C372" s="25"/>
      <c r="D372" s="25"/>
      <c r="E372" s="25"/>
      <c r="F372" s="25"/>
      <c r="H372" s="8"/>
      <c r="I372" s="25"/>
    </row>
    <row r="373" spans="2:9" s="9" customFormat="1">
      <c r="B373" s="25"/>
      <c r="C373" s="25"/>
      <c r="D373" s="25"/>
      <c r="E373" s="25"/>
      <c r="F373" s="25"/>
      <c r="H373" s="8"/>
      <c r="I373" s="25"/>
    </row>
    <row r="374" spans="2:9" s="9" customFormat="1">
      <c r="B374" s="25"/>
      <c r="C374" s="25"/>
      <c r="D374" s="25"/>
      <c r="E374" s="25"/>
      <c r="F374" s="25"/>
      <c r="H374" s="8"/>
      <c r="I374" s="25"/>
    </row>
    <row r="375" spans="2:9" s="9" customFormat="1">
      <c r="B375" s="25"/>
      <c r="C375" s="25"/>
      <c r="D375" s="25"/>
      <c r="E375" s="25"/>
      <c r="F375" s="25"/>
      <c r="H375" s="8"/>
      <c r="I375" s="25"/>
    </row>
    <row r="376" spans="2:9" s="9" customFormat="1">
      <c r="B376" s="25"/>
      <c r="C376" s="25"/>
      <c r="D376" s="25"/>
      <c r="E376" s="25"/>
      <c r="F376" s="25"/>
      <c r="H376" s="8"/>
      <c r="I376" s="25"/>
    </row>
    <row r="377" spans="2:9" s="9" customFormat="1">
      <c r="B377" s="25"/>
      <c r="C377" s="25"/>
      <c r="D377" s="25"/>
      <c r="E377" s="25"/>
      <c r="F377" s="25"/>
      <c r="H377" s="8"/>
      <c r="I377" s="25"/>
    </row>
    <row r="378" spans="2:9" s="9" customFormat="1">
      <c r="B378" s="25"/>
      <c r="C378" s="25"/>
      <c r="D378" s="25"/>
      <c r="E378" s="25"/>
      <c r="F378" s="25"/>
      <c r="H378" s="8"/>
      <c r="I378" s="25"/>
    </row>
    <row r="379" spans="2:9" s="9" customFormat="1">
      <c r="B379" s="25"/>
      <c r="C379" s="25"/>
      <c r="D379" s="25"/>
      <c r="E379" s="25"/>
      <c r="F379" s="25"/>
      <c r="H379" s="8"/>
      <c r="I379" s="25"/>
    </row>
    <row r="380" spans="2:9" s="9" customFormat="1">
      <c r="B380" s="25"/>
      <c r="C380" s="25"/>
      <c r="D380" s="25"/>
      <c r="E380" s="25"/>
      <c r="F380" s="25"/>
      <c r="H380" s="8"/>
      <c r="I380" s="25"/>
    </row>
    <row r="381" spans="2:9" s="9" customFormat="1">
      <c r="B381" s="25"/>
      <c r="C381" s="25"/>
      <c r="D381" s="25"/>
      <c r="E381" s="25"/>
      <c r="F381" s="25"/>
      <c r="H381" s="8"/>
      <c r="I381" s="25"/>
    </row>
    <row r="382" spans="2:9" s="9" customFormat="1">
      <c r="B382" s="25"/>
      <c r="C382" s="25"/>
      <c r="D382" s="25"/>
      <c r="E382" s="25"/>
      <c r="F382" s="25"/>
      <c r="H382" s="8"/>
      <c r="I382" s="25"/>
    </row>
    <row r="383" spans="2:9" s="9" customFormat="1">
      <c r="B383" s="25"/>
      <c r="C383" s="25"/>
      <c r="D383" s="25"/>
      <c r="E383" s="25"/>
      <c r="F383" s="25"/>
      <c r="H383" s="8"/>
      <c r="I383" s="25"/>
    </row>
    <row r="384" spans="2:9" s="9" customFormat="1">
      <c r="B384" s="25"/>
      <c r="C384" s="25"/>
      <c r="D384" s="25"/>
      <c r="E384" s="25"/>
      <c r="F384" s="25"/>
      <c r="H384" s="8"/>
      <c r="I384" s="25"/>
    </row>
    <row r="385" spans="2:9" s="9" customFormat="1">
      <c r="B385" s="25"/>
      <c r="C385" s="25"/>
      <c r="D385" s="25"/>
      <c r="E385" s="25"/>
      <c r="F385" s="25"/>
      <c r="H385" s="8"/>
      <c r="I385" s="25"/>
    </row>
    <row r="386" spans="2:9" s="9" customFormat="1">
      <c r="B386" s="25"/>
      <c r="C386" s="25"/>
      <c r="D386" s="25"/>
      <c r="E386" s="25"/>
      <c r="F386" s="25"/>
      <c r="H386" s="8"/>
      <c r="I386" s="25"/>
    </row>
    <row r="387" spans="2:9" s="9" customFormat="1">
      <c r="B387" s="25"/>
      <c r="C387" s="25"/>
      <c r="D387" s="25"/>
      <c r="E387" s="25"/>
      <c r="F387" s="25"/>
      <c r="H387" s="8"/>
      <c r="I387" s="25"/>
    </row>
    <row r="388" spans="2:9" s="9" customFormat="1">
      <c r="B388" s="25"/>
      <c r="C388" s="25"/>
      <c r="D388" s="25"/>
      <c r="E388" s="25"/>
      <c r="F388" s="25"/>
      <c r="H388" s="8"/>
      <c r="I388" s="25"/>
    </row>
    <row r="389" spans="2:9" s="9" customFormat="1">
      <c r="B389" s="25"/>
      <c r="C389" s="25"/>
      <c r="D389" s="25"/>
      <c r="E389" s="25"/>
      <c r="F389" s="25"/>
      <c r="H389" s="8"/>
      <c r="I389" s="25"/>
    </row>
    <row r="390" spans="2:9" s="9" customFormat="1">
      <c r="B390" s="25"/>
      <c r="C390" s="25"/>
      <c r="D390" s="25"/>
      <c r="E390" s="25"/>
      <c r="F390" s="25"/>
      <c r="H390" s="8"/>
      <c r="I390" s="25"/>
    </row>
    <row r="391" spans="2:9" s="9" customFormat="1">
      <c r="B391" s="25"/>
      <c r="C391" s="25"/>
      <c r="D391" s="25"/>
      <c r="E391" s="25"/>
      <c r="F391" s="25"/>
      <c r="H391" s="8"/>
      <c r="I391" s="25"/>
    </row>
    <row r="392" spans="2:9" s="9" customFormat="1">
      <c r="B392" s="25"/>
      <c r="C392" s="25"/>
      <c r="D392" s="25"/>
      <c r="E392" s="25"/>
      <c r="F392" s="25"/>
      <c r="H392" s="8"/>
      <c r="I392" s="25"/>
    </row>
    <row r="393" spans="2:9" s="9" customFormat="1">
      <c r="B393" s="25"/>
      <c r="C393" s="25"/>
      <c r="D393" s="25"/>
      <c r="E393" s="25"/>
      <c r="F393" s="25"/>
      <c r="H393" s="8"/>
      <c r="I393" s="25"/>
    </row>
    <row r="394" spans="2:9" s="9" customFormat="1">
      <c r="B394" s="25"/>
      <c r="C394" s="25"/>
      <c r="D394" s="25"/>
      <c r="E394" s="25"/>
      <c r="F394" s="25"/>
      <c r="H394" s="8"/>
      <c r="I394" s="25"/>
    </row>
    <row r="395" spans="2:9" s="9" customFormat="1">
      <c r="B395" s="25"/>
      <c r="C395" s="25"/>
      <c r="D395" s="25"/>
      <c r="E395" s="25"/>
      <c r="F395" s="25"/>
      <c r="H395" s="8"/>
      <c r="I395" s="25"/>
    </row>
    <row r="396" spans="2:9" s="9" customFormat="1">
      <c r="B396" s="25"/>
      <c r="C396" s="25"/>
      <c r="D396" s="25"/>
      <c r="E396" s="25"/>
      <c r="F396" s="25"/>
      <c r="H396" s="8"/>
      <c r="I396" s="25"/>
    </row>
    <row r="397" spans="2:9" s="9" customFormat="1">
      <c r="B397" s="25"/>
      <c r="C397" s="25"/>
      <c r="D397" s="25"/>
      <c r="E397" s="25"/>
      <c r="F397" s="25"/>
      <c r="H397" s="8"/>
      <c r="I397" s="25"/>
    </row>
    <row r="398" spans="2:9" s="9" customFormat="1">
      <c r="B398" s="25"/>
      <c r="C398" s="25"/>
      <c r="D398" s="25"/>
      <c r="E398" s="25"/>
      <c r="F398" s="25"/>
      <c r="H398" s="8"/>
      <c r="I398" s="25"/>
    </row>
    <row r="399" spans="2:9" s="9" customFormat="1">
      <c r="B399" s="25"/>
      <c r="C399" s="25"/>
      <c r="D399" s="25"/>
      <c r="E399" s="25"/>
      <c r="F399" s="25"/>
      <c r="H399" s="8"/>
      <c r="I399" s="25"/>
    </row>
    <row r="400" spans="2:9" s="9" customFormat="1">
      <c r="B400" s="25"/>
      <c r="C400" s="25"/>
      <c r="D400" s="25"/>
      <c r="E400" s="25"/>
      <c r="F400" s="25"/>
      <c r="H400" s="8"/>
      <c r="I400" s="25"/>
    </row>
    <row r="401" spans="2:9" s="9" customFormat="1">
      <c r="B401" s="25"/>
      <c r="C401" s="25"/>
      <c r="D401" s="25"/>
      <c r="E401" s="25"/>
      <c r="F401" s="25"/>
      <c r="H401" s="8"/>
      <c r="I401" s="25"/>
    </row>
    <row r="402" spans="2:9" s="9" customFormat="1">
      <c r="B402" s="25"/>
      <c r="C402" s="25"/>
      <c r="D402" s="25"/>
      <c r="E402" s="25"/>
      <c r="F402" s="25"/>
      <c r="H402" s="8"/>
      <c r="I402" s="25"/>
    </row>
    <row r="403" spans="2:9" s="9" customFormat="1">
      <c r="B403" s="25"/>
      <c r="C403" s="25"/>
      <c r="D403" s="25"/>
      <c r="E403" s="25"/>
      <c r="F403" s="25"/>
      <c r="H403" s="8"/>
      <c r="I403" s="25"/>
    </row>
    <row r="404" spans="2:9" s="9" customFormat="1">
      <c r="B404" s="25"/>
      <c r="C404" s="25"/>
      <c r="D404" s="25"/>
      <c r="E404" s="25"/>
      <c r="F404" s="25"/>
      <c r="H404" s="8"/>
      <c r="I404" s="25"/>
    </row>
    <row r="405" spans="2:9" s="9" customFormat="1">
      <c r="B405" s="25"/>
      <c r="C405" s="25"/>
      <c r="D405" s="25"/>
      <c r="E405" s="25"/>
      <c r="F405" s="25"/>
      <c r="H405" s="8"/>
      <c r="I405" s="25"/>
    </row>
    <row r="406" spans="2:9" s="9" customFormat="1">
      <c r="B406" s="25"/>
      <c r="C406" s="25"/>
      <c r="D406" s="25"/>
      <c r="E406" s="25"/>
      <c r="F406" s="25"/>
      <c r="H406" s="8"/>
      <c r="I406" s="25"/>
    </row>
    <row r="407" spans="2:9" s="9" customFormat="1">
      <c r="B407" s="25"/>
      <c r="C407" s="25"/>
      <c r="D407" s="25"/>
      <c r="E407" s="25"/>
      <c r="F407" s="25"/>
      <c r="H407" s="8"/>
      <c r="I407" s="25"/>
    </row>
    <row r="408" spans="2:9" s="9" customFormat="1">
      <c r="B408" s="25"/>
      <c r="C408" s="25"/>
      <c r="D408" s="25"/>
      <c r="E408" s="25"/>
      <c r="F408" s="25"/>
      <c r="H408" s="8"/>
      <c r="I408" s="25"/>
    </row>
    <row r="409" spans="2:9" s="9" customFormat="1">
      <c r="B409" s="25"/>
      <c r="C409" s="25"/>
      <c r="D409" s="25"/>
      <c r="E409" s="25"/>
      <c r="F409" s="25"/>
      <c r="H409" s="8"/>
      <c r="I409" s="25"/>
    </row>
    <row r="410" spans="2:9" s="9" customFormat="1">
      <c r="B410" s="25"/>
      <c r="C410" s="25"/>
      <c r="D410" s="25"/>
      <c r="E410" s="25"/>
      <c r="F410" s="25"/>
      <c r="H410" s="8"/>
      <c r="I410" s="25"/>
    </row>
    <row r="411" spans="2:9" s="9" customFormat="1">
      <c r="B411" s="25"/>
      <c r="C411" s="25"/>
      <c r="D411" s="25"/>
      <c r="E411" s="25"/>
      <c r="F411" s="25"/>
      <c r="H411" s="8"/>
      <c r="I411" s="25"/>
    </row>
    <row r="412" spans="2:9" s="9" customFormat="1">
      <c r="B412" s="25"/>
      <c r="C412" s="25"/>
      <c r="D412" s="25"/>
      <c r="E412" s="25"/>
      <c r="F412" s="25"/>
      <c r="H412" s="8"/>
      <c r="I412" s="25"/>
    </row>
    <row r="413" spans="2:9" s="9" customFormat="1">
      <c r="B413" s="25"/>
      <c r="C413" s="25"/>
      <c r="D413" s="25"/>
      <c r="E413" s="25"/>
      <c r="F413" s="25"/>
      <c r="H413" s="8"/>
      <c r="I413" s="25"/>
    </row>
    <row r="414" spans="2:9" s="9" customFormat="1">
      <c r="B414" s="25"/>
      <c r="C414" s="25"/>
      <c r="D414" s="25"/>
      <c r="E414" s="25"/>
      <c r="F414" s="25"/>
      <c r="H414" s="8"/>
      <c r="I414" s="25"/>
    </row>
    <row r="415" spans="2:9" s="9" customFormat="1">
      <c r="B415" s="25"/>
      <c r="C415" s="25"/>
      <c r="D415" s="25"/>
      <c r="E415" s="25"/>
      <c r="F415" s="25"/>
      <c r="H415" s="8"/>
      <c r="I415" s="25"/>
    </row>
    <row r="416" spans="2:9" s="9" customFormat="1">
      <c r="B416" s="25"/>
      <c r="C416" s="25"/>
      <c r="D416" s="25"/>
      <c r="E416" s="25"/>
      <c r="F416" s="25"/>
      <c r="H416" s="8"/>
      <c r="I416" s="25"/>
    </row>
    <row r="417" spans="2:9" s="9" customFormat="1">
      <c r="B417" s="25"/>
      <c r="C417" s="25"/>
      <c r="D417" s="25"/>
      <c r="E417" s="25"/>
      <c r="F417" s="25"/>
      <c r="H417" s="8"/>
      <c r="I417" s="25"/>
    </row>
    <row r="418" spans="2:9" s="9" customFormat="1">
      <c r="B418" s="25"/>
      <c r="C418" s="25"/>
      <c r="D418" s="25"/>
      <c r="E418" s="25"/>
      <c r="F418" s="25"/>
      <c r="H418" s="8"/>
      <c r="I418" s="25"/>
    </row>
    <row r="419" spans="2:9" s="9" customFormat="1">
      <c r="B419" s="25"/>
      <c r="C419" s="25"/>
      <c r="D419" s="25"/>
      <c r="E419" s="25"/>
      <c r="F419" s="25"/>
      <c r="H419" s="8"/>
      <c r="I419" s="25"/>
    </row>
    <row r="420" spans="2:9" s="9" customFormat="1">
      <c r="B420" s="25"/>
      <c r="C420" s="25"/>
      <c r="D420" s="25"/>
      <c r="E420" s="25"/>
      <c r="F420" s="25"/>
      <c r="H420" s="8"/>
      <c r="I420" s="25"/>
    </row>
    <row r="421" spans="2:9" s="9" customFormat="1">
      <c r="B421" s="25"/>
      <c r="C421" s="25"/>
      <c r="D421" s="25"/>
      <c r="E421" s="25"/>
      <c r="F421" s="25"/>
      <c r="H421" s="8"/>
      <c r="I421" s="25"/>
    </row>
    <row r="422" spans="2:9" s="9" customFormat="1">
      <c r="B422" s="25"/>
      <c r="C422" s="25"/>
      <c r="D422" s="25"/>
      <c r="E422" s="25"/>
      <c r="F422" s="25"/>
      <c r="H422" s="8"/>
      <c r="I422" s="25"/>
    </row>
    <row r="423" spans="2:9" s="9" customFormat="1">
      <c r="B423" s="25"/>
      <c r="C423" s="25"/>
      <c r="D423" s="25"/>
      <c r="E423" s="25"/>
      <c r="F423" s="25"/>
      <c r="H423" s="8"/>
      <c r="I423" s="25"/>
    </row>
    <row r="424" spans="2:9" s="9" customFormat="1">
      <c r="B424" s="25"/>
      <c r="C424" s="25"/>
      <c r="D424" s="25"/>
      <c r="E424" s="25"/>
      <c r="F424" s="25"/>
      <c r="H424" s="8"/>
      <c r="I424" s="25"/>
    </row>
    <row r="425" spans="2:9" s="9" customFormat="1">
      <c r="B425" s="25"/>
      <c r="C425" s="25"/>
      <c r="D425" s="25"/>
      <c r="E425" s="25"/>
      <c r="F425" s="25"/>
      <c r="H425" s="8"/>
      <c r="I425" s="25"/>
    </row>
    <row r="426" spans="2:9" s="9" customFormat="1">
      <c r="B426" s="25"/>
      <c r="C426" s="25"/>
      <c r="D426" s="25"/>
      <c r="E426" s="25"/>
      <c r="F426" s="25"/>
      <c r="H426" s="8"/>
      <c r="I426" s="25"/>
    </row>
    <row r="427" spans="2:9" s="9" customFormat="1">
      <c r="B427" s="25"/>
      <c r="C427" s="25"/>
      <c r="D427" s="25"/>
      <c r="E427" s="25"/>
      <c r="F427" s="25"/>
      <c r="H427" s="8"/>
      <c r="I427" s="25"/>
    </row>
    <row r="428" spans="2:9" s="9" customFormat="1">
      <c r="B428" s="25"/>
      <c r="C428" s="25"/>
      <c r="D428" s="25"/>
      <c r="E428" s="25"/>
      <c r="F428" s="25"/>
      <c r="H428" s="8"/>
      <c r="I428" s="25"/>
    </row>
    <row r="429" spans="2:9" s="9" customFormat="1">
      <c r="B429" s="25"/>
      <c r="C429" s="25"/>
      <c r="D429" s="25"/>
      <c r="E429" s="25"/>
      <c r="F429" s="25"/>
      <c r="H429" s="8"/>
      <c r="I429" s="25"/>
    </row>
    <row r="430" spans="2:9" s="9" customFormat="1">
      <c r="B430" s="25"/>
      <c r="C430" s="25"/>
      <c r="D430" s="25"/>
      <c r="E430" s="25"/>
      <c r="F430" s="25"/>
      <c r="H430" s="8"/>
      <c r="I430" s="25"/>
    </row>
    <row r="431" spans="2:9" s="9" customFormat="1">
      <c r="B431" s="25"/>
      <c r="C431" s="25"/>
      <c r="D431" s="25"/>
      <c r="E431" s="25"/>
      <c r="F431" s="25"/>
      <c r="H431" s="8"/>
      <c r="I431" s="25"/>
    </row>
    <row r="432" spans="2:9" s="9" customFormat="1">
      <c r="B432" s="25"/>
      <c r="C432" s="25"/>
      <c r="D432" s="25"/>
      <c r="E432" s="25"/>
      <c r="F432" s="25"/>
      <c r="H432" s="8"/>
      <c r="I432" s="25"/>
    </row>
    <row r="433" spans="2:9" s="9" customFormat="1">
      <c r="B433" s="25"/>
      <c r="C433" s="25"/>
      <c r="D433" s="25"/>
      <c r="E433" s="25"/>
      <c r="F433" s="25"/>
      <c r="H433" s="8"/>
      <c r="I433" s="25"/>
    </row>
    <row r="434" spans="2:9" s="9" customFormat="1">
      <c r="B434" s="25"/>
      <c r="C434" s="25"/>
      <c r="D434" s="25"/>
      <c r="E434" s="25"/>
      <c r="F434" s="25"/>
      <c r="H434" s="8"/>
      <c r="I434" s="25"/>
    </row>
    <row r="435" spans="2:9" s="9" customFormat="1">
      <c r="B435" s="25"/>
      <c r="C435" s="25"/>
      <c r="D435" s="25"/>
      <c r="E435" s="25"/>
      <c r="F435" s="25"/>
      <c r="H435" s="8"/>
      <c r="I435" s="25"/>
    </row>
    <row r="436" spans="2:9" s="9" customFormat="1">
      <c r="B436" s="25"/>
      <c r="C436" s="25"/>
      <c r="D436" s="25"/>
      <c r="E436" s="25"/>
      <c r="F436" s="25"/>
      <c r="H436" s="8"/>
      <c r="I436" s="25"/>
    </row>
    <row r="437" spans="2:9" s="9" customFormat="1">
      <c r="B437" s="25"/>
      <c r="C437" s="25"/>
      <c r="D437" s="25"/>
      <c r="E437" s="25"/>
      <c r="F437" s="25"/>
      <c r="H437" s="8"/>
      <c r="I437" s="25"/>
    </row>
    <row r="438" spans="2:9" s="9" customFormat="1">
      <c r="B438" s="25"/>
      <c r="C438" s="25"/>
      <c r="D438" s="25"/>
      <c r="E438" s="25"/>
      <c r="F438" s="25"/>
      <c r="H438" s="8"/>
      <c r="I438" s="25"/>
    </row>
    <row r="439" spans="2:9" s="9" customFormat="1">
      <c r="B439" s="25"/>
      <c r="C439" s="25"/>
      <c r="D439" s="25"/>
      <c r="E439" s="25"/>
      <c r="F439" s="25"/>
      <c r="H439" s="8"/>
      <c r="I439" s="25"/>
    </row>
    <row r="440" spans="2:9" s="9" customFormat="1">
      <c r="B440" s="25"/>
      <c r="C440" s="25"/>
      <c r="D440" s="25"/>
      <c r="E440" s="25"/>
      <c r="F440" s="25"/>
      <c r="H440" s="8"/>
      <c r="I440" s="25"/>
    </row>
    <row r="441" spans="2:9" s="9" customFormat="1">
      <c r="B441" s="25"/>
      <c r="C441" s="25"/>
      <c r="D441" s="25"/>
      <c r="E441" s="25"/>
      <c r="F441" s="25"/>
      <c r="H441" s="8"/>
      <c r="I441" s="25"/>
    </row>
    <row r="442" spans="2:9" s="9" customFormat="1">
      <c r="B442" s="25"/>
      <c r="C442" s="25"/>
      <c r="D442" s="25"/>
      <c r="E442" s="25"/>
      <c r="F442" s="25"/>
      <c r="H442" s="8"/>
      <c r="I442" s="25"/>
    </row>
    <row r="443" spans="2:9" s="9" customFormat="1">
      <c r="B443" s="25"/>
      <c r="C443" s="25"/>
      <c r="D443" s="25"/>
      <c r="E443" s="25"/>
      <c r="F443" s="25"/>
      <c r="H443" s="8"/>
      <c r="I443" s="25"/>
    </row>
    <row r="444" spans="2:9" s="9" customFormat="1">
      <c r="B444" s="25"/>
      <c r="C444" s="25"/>
      <c r="D444" s="25"/>
      <c r="E444" s="25"/>
      <c r="F444" s="25"/>
      <c r="H444" s="8"/>
      <c r="I444" s="25"/>
    </row>
    <row r="445" spans="2:9" s="9" customFormat="1">
      <c r="B445" s="25"/>
      <c r="C445" s="25"/>
      <c r="D445" s="25"/>
      <c r="E445" s="25"/>
      <c r="F445" s="25"/>
      <c r="H445" s="8"/>
      <c r="I445" s="25"/>
    </row>
    <row r="446" spans="2:9" s="9" customFormat="1">
      <c r="B446" s="25"/>
      <c r="C446" s="25"/>
      <c r="D446" s="25"/>
      <c r="E446" s="25"/>
      <c r="F446" s="25"/>
      <c r="H446" s="8"/>
      <c r="I446" s="25"/>
    </row>
    <row r="447" spans="2:9" s="9" customFormat="1">
      <c r="B447" s="25"/>
      <c r="C447" s="25"/>
      <c r="D447" s="25"/>
      <c r="E447" s="25"/>
      <c r="F447" s="25"/>
      <c r="H447" s="8"/>
      <c r="I447" s="25"/>
    </row>
    <row r="448" spans="2:9" s="9" customFormat="1">
      <c r="B448" s="25"/>
      <c r="C448" s="25"/>
      <c r="D448" s="25"/>
      <c r="E448" s="25"/>
      <c r="F448" s="25"/>
      <c r="H448" s="8"/>
      <c r="I448" s="25"/>
    </row>
    <row r="449" spans="2:9" s="9" customFormat="1">
      <c r="B449" s="25"/>
      <c r="C449" s="25"/>
      <c r="D449" s="25"/>
      <c r="E449" s="25"/>
      <c r="F449" s="25"/>
      <c r="H449" s="8"/>
      <c r="I449" s="25"/>
    </row>
    <row r="450" spans="2:9" s="9" customFormat="1">
      <c r="B450" s="25"/>
      <c r="C450" s="25"/>
      <c r="D450" s="25"/>
      <c r="E450" s="25"/>
      <c r="F450" s="25"/>
      <c r="H450" s="8"/>
      <c r="I450" s="25"/>
    </row>
    <row r="451" spans="2:9" s="9" customFormat="1">
      <c r="B451" s="25"/>
      <c r="C451" s="25"/>
      <c r="D451" s="25"/>
      <c r="E451" s="25"/>
      <c r="F451" s="25"/>
      <c r="H451" s="8"/>
      <c r="I451" s="25"/>
    </row>
    <row r="452" spans="2:9" s="9" customFormat="1">
      <c r="B452" s="25"/>
      <c r="C452" s="25"/>
      <c r="D452" s="25"/>
      <c r="E452" s="25"/>
      <c r="F452" s="25"/>
      <c r="H452" s="8"/>
      <c r="I452" s="25"/>
    </row>
  </sheetData>
  <mergeCells count="2">
    <mergeCell ref="B2:F2"/>
    <mergeCell ref="J100:L100"/>
  </mergeCells>
  <dataValidations count="3">
    <dataValidation type="date" allowBlank="1" showInputMessage="1" showErrorMessage="1" error="Use For British Settings: DD/MM/YYYY_x000a_Use For American Settings:_x000a_MM/DD/YYYY" promptTitle="Use Format" prompt="For British Settings: DD/MM/YYYY_x000a_For American Settings: MM/DD/YYYY" sqref="F4" xr:uid="{6B136228-07B2-4BBA-9E77-FDA191681244}">
      <formula1>36526</formula1>
      <formula2>73051</formula2>
    </dataValidation>
    <dataValidation allowBlank="1" showInputMessage="1" showErrorMessage="1" promptTitle="Projections " prompt="If  you have completed the cash flow projections  the figures will be auto generated . Insert amount for depreciation " sqref="WVK983044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F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F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F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F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F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F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F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F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F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F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F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F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F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F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F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I65540 I131076 I196612 I262148 I327684 I393220 I458756 I524292 I589828 I655364 I720900 I786436 I851972 I917508 I983044" xr:uid="{99A46E0E-0F14-459F-A443-322435E5568D}"/>
    <dataValidation operator="greaterThanOrEqual" allowBlank="1" showInputMessage="1" showErrorMessage="1" sqref="D52 F61 I54 F32 I32 D61 F54" xr:uid="{D67C4029-364E-4CEB-8D20-0745884D66C2}"/>
  </dataValidations>
  <hyperlinks>
    <hyperlink ref="J100" location="'Lean Canvas'!A1" display="Back Lean Canvas" xr:uid="{33AE92CF-6120-4388-B101-DE7A94399045}"/>
  </hyperlinks>
  <pageMargins left="0.7" right="0.7" top="0.75" bottom="0.75" header="0.3" footer="0.3"/>
  <pageSetup scale="64" orientation="landscape" r:id="rId1"/>
  <rowBreaks count="2" manualBreakCount="2">
    <brk id="48" max="9" man="1"/>
    <brk id="100" max="7" man="1"/>
  </rowBreaks>
  <legacyDrawing r:id="rId2"/>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r:uid="{E879E9B1-4DC6-4C74-945F-E03791CFBB52}">
          <x14:formula1>
            <xm:f>0</xm:f>
          </x14:formula1>
          <xm:sqref>I983095:I983103 IY10:IY11 SU10:SU11 ACQ10:ACQ11 AMM10:AMM11 AWI10:AWI11 BGE10:BGE11 BQA10:BQA11 BZW10:BZW11 CJS10:CJS11 CTO10:CTO11 DDK10:DDK11 DNG10:DNG11 DXC10:DXC11 EGY10:EGY11 EQU10:EQU11 FAQ10:FAQ11 FKM10:FKM11 FUI10:FUI11 GEE10:GEE11 GOA10:GOA11 GXW10:GXW11 HHS10:HHS11 HRO10:HRO11 IBK10:IBK11 ILG10:ILG11 IVC10:IVC11 JEY10:JEY11 JOU10:JOU11 JYQ10:JYQ11 KIM10:KIM11 KSI10:KSI11 LCE10:LCE11 LMA10:LMA11 LVW10:LVW11 MFS10:MFS11 MPO10:MPO11 MZK10:MZK11 NJG10:NJG11 NTC10:NTC11 OCY10:OCY11 OMU10:OMU11 OWQ10:OWQ11 PGM10:PGM11 PQI10:PQI11 QAE10:QAE11 QKA10:QKA11 QTW10:QTW11 RDS10:RDS11 RNO10:RNO11 RXK10:RXK11 SHG10:SHG11 SRC10:SRC11 TAY10:TAY11 TKU10:TKU11 TUQ10:TUQ11 UEM10:UEM11 UOI10:UOI11 UYE10:UYE11 VIA10:VIA11 VRW10:VRW11 WBS10:WBS11 WLO10:WLO11 WVK10:WVK11 F65542:F65543 IY65542:IY65543 SU65542:SU65543 ACQ65542:ACQ65543 AMM65542:AMM65543 AWI65542:AWI65543 BGE65542:BGE65543 BQA65542:BQA65543 BZW65542:BZW65543 CJS65542:CJS65543 CTO65542:CTO65543 DDK65542:DDK65543 DNG65542:DNG65543 DXC65542:DXC65543 EGY65542:EGY65543 EQU65542:EQU65543 FAQ65542:FAQ65543 FKM65542:FKM65543 FUI65542:FUI65543 GEE65542:GEE65543 GOA65542:GOA65543 GXW65542:GXW65543 HHS65542:HHS65543 HRO65542:HRO65543 IBK65542:IBK65543 ILG65542:ILG65543 IVC65542:IVC65543 JEY65542:JEY65543 JOU65542:JOU65543 JYQ65542:JYQ65543 KIM65542:KIM65543 KSI65542:KSI65543 LCE65542:LCE65543 LMA65542:LMA65543 LVW65542:LVW65543 MFS65542:MFS65543 MPO65542:MPO65543 MZK65542:MZK65543 NJG65542:NJG65543 NTC65542:NTC65543 OCY65542:OCY65543 OMU65542:OMU65543 OWQ65542:OWQ65543 PGM65542:PGM65543 PQI65542:PQI65543 QAE65542:QAE65543 QKA65542:QKA65543 QTW65542:QTW65543 RDS65542:RDS65543 RNO65542:RNO65543 RXK65542:RXK65543 SHG65542:SHG65543 SRC65542:SRC65543 TAY65542:TAY65543 TKU65542:TKU65543 TUQ65542:TUQ65543 UEM65542:UEM65543 UOI65542:UOI65543 UYE65542:UYE65543 VIA65542:VIA65543 VRW65542:VRW65543 WBS65542:WBS65543 WLO65542:WLO65543 WVK65542:WVK65543 F131078:F131079 IY131078:IY131079 SU131078:SU131079 ACQ131078:ACQ131079 AMM131078:AMM131079 AWI131078:AWI131079 BGE131078:BGE131079 BQA131078:BQA131079 BZW131078:BZW131079 CJS131078:CJS131079 CTO131078:CTO131079 DDK131078:DDK131079 DNG131078:DNG131079 DXC131078:DXC131079 EGY131078:EGY131079 EQU131078:EQU131079 FAQ131078:FAQ131079 FKM131078:FKM131079 FUI131078:FUI131079 GEE131078:GEE131079 GOA131078:GOA131079 GXW131078:GXW131079 HHS131078:HHS131079 HRO131078:HRO131079 IBK131078:IBK131079 ILG131078:ILG131079 IVC131078:IVC131079 JEY131078:JEY131079 JOU131078:JOU131079 JYQ131078:JYQ131079 KIM131078:KIM131079 KSI131078:KSI131079 LCE131078:LCE131079 LMA131078:LMA131079 LVW131078:LVW131079 MFS131078:MFS131079 MPO131078:MPO131079 MZK131078:MZK131079 NJG131078:NJG131079 NTC131078:NTC131079 OCY131078:OCY131079 OMU131078:OMU131079 OWQ131078:OWQ131079 PGM131078:PGM131079 PQI131078:PQI131079 QAE131078:QAE131079 QKA131078:QKA131079 QTW131078:QTW131079 RDS131078:RDS131079 RNO131078:RNO131079 RXK131078:RXK131079 SHG131078:SHG131079 SRC131078:SRC131079 TAY131078:TAY131079 TKU131078:TKU131079 TUQ131078:TUQ131079 UEM131078:UEM131079 UOI131078:UOI131079 UYE131078:UYE131079 VIA131078:VIA131079 VRW131078:VRW131079 WBS131078:WBS131079 WLO131078:WLO131079 WVK131078:WVK131079 F196614:F196615 IY196614:IY196615 SU196614:SU196615 ACQ196614:ACQ196615 AMM196614:AMM196615 AWI196614:AWI196615 BGE196614:BGE196615 BQA196614:BQA196615 BZW196614:BZW196615 CJS196614:CJS196615 CTO196614:CTO196615 DDK196614:DDK196615 DNG196614:DNG196615 DXC196614:DXC196615 EGY196614:EGY196615 EQU196614:EQU196615 FAQ196614:FAQ196615 FKM196614:FKM196615 FUI196614:FUI196615 GEE196614:GEE196615 GOA196614:GOA196615 GXW196614:GXW196615 HHS196614:HHS196615 HRO196614:HRO196615 IBK196614:IBK196615 ILG196614:ILG196615 IVC196614:IVC196615 JEY196614:JEY196615 JOU196614:JOU196615 JYQ196614:JYQ196615 KIM196614:KIM196615 KSI196614:KSI196615 LCE196614:LCE196615 LMA196614:LMA196615 LVW196614:LVW196615 MFS196614:MFS196615 MPO196614:MPO196615 MZK196614:MZK196615 NJG196614:NJG196615 NTC196614:NTC196615 OCY196614:OCY196615 OMU196614:OMU196615 OWQ196614:OWQ196615 PGM196614:PGM196615 PQI196614:PQI196615 QAE196614:QAE196615 QKA196614:QKA196615 QTW196614:QTW196615 RDS196614:RDS196615 RNO196614:RNO196615 RXK196614:RXK196615 SHG196614:SHG196615 SRC196614:SRC196615 TAY196614:TAY196615 TKU196614:TKU196615 TUQ196614:TUQ196615 UEM196614:UEM196615 UOI196614:UOI196615 UYE196614:UYE196615 VIA196614:VIA196615 VRW196614:VRW196615 WBS196614:WBS196615 WLO196614:WLO196615 WVK196614:WVK196615 F262150:F262151 IY262150:IY262151 SU262150:SU262151 ACQ262150:ACQ262151 AMM262150:AMM262151 AWI262150:AWI262151 BGE262150:BGE262151 BQA262150:BQA262151 BZW262150:BZW262151 CJS262150:CJS262151 CTO262150:CTO262151 DDK262150:DDK262151 DNG262150:DNG262151 DXC262150:DXC262151 EGY262150:EGY262151 EQU262150:EQU262151 FAQ262150:FAQ262151 FKM262150:FKM262151 FUI262150:FUI262151 GEE262150:GEE262151 GOA262150:GOA262151 GXW262150:GXW262151 HHS262150:HHS262151 HRO262150:HRO262151 IBK262150:IBK262151 ILG262150:ILG262151 IVC262150:IVC262151 JEY262150:JEY262151 JOU262150:JOU262151 JYQ262150:JYQ262151 KIM262150:KIM262151 KSI262150:KSI262151 LCE262150:LCE262151 LMA262150:LMA262151 LVW262150:LVW262151 MFS262150:MFS262151 MPO262150:MPO262151 MZK262150:MZK262151 NJG262150:NJG262151 NTC262150:NTC262151 OCY262150:OCY262151 OMU262150:OMU262151 OWQ262150:OWQ262151 PGM262150:PGM262151 PQI262150:PQI262151 QAE262150:QAE262151 QKA262150:QKA262151 QTW262150:QTW262151 RDS262150:RDS262151 RNO262150:RNO262151 RXK262150:RXK262151 SHG262150:SHG262151 SRC262150:SRC262151 TAY262150:TAY262151 TKU262150:TKU262151 TUQ262150:TUQ262151 UEM262150:UEM262151 UOI262150:UOI262151 UYE262150:UYE262151 VIA262150:VIA262151 VRW262150:VRW262151 WBS262150:WBS262151 WLO262150:WLO262151 WVK262150:WVK262151 F327686:F327687 IY327686:IY327687 SU327686:SU327687 ACQ327686:ACQ327687 AMM327686:AMM327687 AWI327686:AWI327687 BGE327686:BGE327687 BQA327686:BQA327687 BZW327686:BZW327687 CJS327686:CJS327687 CTO327686:CTO327687 DDK327686:DDK327687 DNG327686:DNG327687 DXC327686:DXC327687 EGY327686:EGY327687 EQU327686:EQU327687 FAQ327686:FAQ327687 FKM327686:FKM327687 FUI327686:FUI327687 GEE327686:GEE327687 GOA327686:GOA327687 GXW327686:GXW327687 HHS327686:HHS327687 HRO327686:HRO327687 IBK327686:IBK327687 ILG327686:ILG327687 IVC327686:IVC327687 JEY327686:JEY327687 JOU327686:JOU327687 JYQ327686:JYQ327687 KIM327686:KIM327687 KSI327686:KSI327687 LCE327686:LCE327687 LMA327686:LMA327687 LVW327686:LVW327687 MFS327686:MFS327687 MPO327686:MPO327687 MZK327686:MZK327687 NJG327686:NJG327687 NTC327686:NTC327687 OCY327686:OCY327687 OMU327686:OMU327687 OWQ327686:OWQ327687 PGM327686:PGM327687 PQI327686:PQI327687 QAE327686:QAE327687 QKA327686:QKA327687 QTW327686:QTW327687 RDS327686:RDS327687 RNO327686:RNO327687 RXK327686:RXK327687 SHG327686:SHG327687 SRC327686:SRC327687 TAY327686:TAY327687 TKU327686:TKU327687 TUQ327686:TUQ327687 UEM327686:UEM327687 UOI327686:UOI327687 UYE327686:UYE327687 VIA327686:VIA327687 VRW327686:VRW327687 WBS327686:WBS327687 WLO327686:WLO327687 WVK327686:WVK327687 F393222:F393223 IY393222:IY393223 SU393222:SU393223 ACQ393222:ACQ393223 AMM393222:AMM393223 AWI393222:AWI393223 BGE393222:BGE393223 BQA393222:BQA393223 BZW393222:BZW393223 CJS393222:CJS393223 CTO393222:CTO393223 DDK393222:DDK393223 DNG393222:DNG393223 DXC393222:DXC393223 EGY393222:EGY393223 EQU393222:EQU393223 FAQ393222:FAQ393223 FKM393222:FKM393223 FUI393222:FUI393223 GEE393222:GEE393223 GOA393222:GOA393223 GXW393222:GXW393223 HHS393222:HHS393223 HRO393222:HRO393223 IBK393222:IBK393223 ILG393222:ILG393223 IVC393222:IVC393223 JEY393222:JEY393223 JOU393222:JOU393223 JYQ393222:JYQ393223 KIM393222:KIM393223 KSI393222:KSI393223 LCE393222:LCE393223 LMA393222:LMA393223 LVW393222:LVW393223 MFS393222:MFS393223 MPO393222:MPO393223 MZK393222:MZK393223 NJG393222:NJG393223 NTC393222:NTC393223 OCY393222:OCY393223 OMU393222:OMU393223 OWQ393222:OWQ393223 PGM393222:PGM393223 PQI393222:PQI393223 QAE393222:QAE393223 QKA393222:QKA393223 QTW393222:QTW393223 RDS393222:RDS393223 RNO393222:RNO393223 RXK393222:RXK393223 SHG393222:SHG393223 SRC393222:SRC393223 TAY393222:TAY393223 TKU393222:TKU393223 TUQ393222:TUQ393223 UEM393222:UEM393223 UOI393222:UOI393223 UYE393222:UYE393223 VIA393222:VIA393223 VRW393222:VRW393223 WBS393222:WBS393223 WLO393222:WLO393223 WVK393222:WVK393223 F458758:F458759 IY458758:IY458759 SU458758:SU458759 ACQ458758:ACQ458759 AMM458758:AMM458759 AWI458758:AWI458759 BGE458758:BGE458759 BQA458758:BQA458759 BZW458758:BZW458759 CJS458758:CJS458759 CTO458758:CTO458759 DDK458758:DDK458759 DNG458758:DNG458759 DXC458758:DXC458759 EGY458758:EGY458759 EQU458758:EQU458759 FAQ458758:FAQ458759 FKM458758:FKM458759 FUI458758:FUI458759 GEE458758:GEE458759 GOA458758:GOA458759 GXW458758:GXW458759 HHS458758:HHS458759 HRO458758:HRO458759 IBK458758:IBK458759 ILG458758:ILG458759 IVC458758:IVC458759 JEY458758:JEY458759 JOU458758:JOU458759 JYQ458758:JYQ458759 KIM458758:KIM458759 KSI458758:KSI458759 LCE458758:LCE458759 LMA458758:LMA458759 LVW458758:LVW458759 MFS458758:MFS458759 MPO458758:MPO458759 MZK458758:MZK458759 NJG458758:NJG458759 NTC458758:NTC458759 OCY458758:OCY458759 OMU458758:OMU458759 OWQ458758:OWQ458759 PGM458758:PGM458759 PQI458758:PQI458759 QAE458758:QAE458759 QKA458758:QKA458759 QTW458758:QTW458759 RDS458758:RDS458759 RNO458758:RNO458759 RXK458758:RXK458759 SHG458758:SHG458759 SRC458758:SRC458759 TAY458758:TAY458759 TKU458758:TKU458759 TUQ458758:TUQ458759 UEM458758:UEM458759 UOI458758:UOI458759 UYE458758:UYE458759 VIA458758:VIA458759 VRW458758:VRW458759 WBS458758:WBS458759 WLO458758:WLO458759 WVK458758:WVK458759 F524294:F524295 IY524294:IY524295 SU524294:SU524295 ACQ524294:ACQ524295 AMM524294:AMM524295 AWI524294:AWI524295 BGE524294:BGE524295 BQA524294:BQA524295 BZW524294:BZW524295 CJS524294:CJS524295 CTO524294:CTO524295 DDK524294:DDK524295 DNG524294:DNG524295 DXC524294:DXC524295 EGY524294:EGY524295 EQU524294:EQU524295 FAQ524294:FAQ524295 FKM524294:FKM524295 FUI524294:FUI524295 GEE524294:GEE524295 GOA524294:GOA524295 GXW524294:GXW524295 HHS524294:HHS524295 HRO524294:HRO524295 IBK524294:IBK524295 ILG524294:ILG524295 IVC524294:IVC524295 JEY524294:JEY524295 JOU524294:JOU524295 JYQ524294:JYQ524295 KIM524294:KIM524295 KSI524294:KSI524295 LCE524294:LCE524295 LMA524294:LMA524295 LVW524294:LVW524295 MFS524294:MFS524295 MPO524294:MPO524295 MZK524294:MZK524295 NJG524294:NJG524295 NTC524294:NTC524295 OCY524294:OCY524295 OMU524294:OMU524295 OWQ524294:OWQ524295 PGM524294:PGM524295 PQI524294:PQI524295 QAE524294:QAE524295 QKA524294:QKA524295 QTW524294:QTW524295 RDS524294:RDS524295 RNO524294:RNO524295 RXK524294:RXK524295 SHG524294:SHG524295 SRC524294:SRC524295 TAY524294:TAY524295 TKU524294:TKU524295 TUQ524294:TUQ524295 UEM524294:UEM524295 UOI524294:UOI524295 UYE524294:UYE524295 VIA524294:VIA524295 VRW524294:VRW524295 WBS524294:WBS524295 WLO524294:WLO524295 WVK524294:WVK524295 F589830:F589831 IY589830:IY589831 SU589830:SU589831 ACQ589830:ACQ589831 AMM589830:AMM589831 AWI589830:AWI589831 BGE589830:BGE589831 BQA589830:BQA589831 BZW589830:BZW589831 CJS589830:CJS589831 CTO589830:CTO589831 DDK589830:DDK589831 DNG589830:DNG589831 DXC589830:DXC589831 EGY589830:EGY589831 EQU589830:EQU589831 FAQ589830:FAQ589831 FKM589830:FKM589831 FUI589830:FUI589831 GEE589830:GEE589831 GOA589830:GOA589831 GXW589830:GXW589831 HHS589830:HHS589831 HRO589830:HRO589831 IBK589830:IBK589831 ILG589830:ILG589831 IVC589830:IVC589831 JEY589830:JEY589831 JOU589830:JOU589831 JYQ589830:JYQ589831 KIM589830:KIM589831 KSI589830:KSI589831 LCE589830:LCE589831 LMA589830:LMA589831 LVW589830:LVW589831 MFS589830:MFS589831 MPO589830:MPO589831 MZK589830:MZK589831 NJG589830:NJG589831 NTC589830:NTC589831 OCY589830:OCY589831 OMU589830:OMU589831 OWQ589830:OWQ589831 PGM589830:PGM589831 PQI589830:PQI589831 QAE589830:QAE589831 QKA589830:QKA589831 QTW589830:QTW589831 RDS589830:RDS589831 RNO589830:RNO589831 RXK589830:RXK589831 SHG589830:SHG589831 SRC589830:SRC589831 TAY589830:TAY589831 TKU589830:TKU589831 TUQ589830:TUQ589831 UEM589830:UEM589831 UOI589830:UOI589831 UYE589830:UYE589831 VIA589830:VIA589831 VRW589830:VRW589831 WBS589830:WBS589831 WLO589830:WLO589831 WVK589830:WVK589831 F655366:F655367 IY655366:IY655367 SU655366:SU655367 ACQ655366:ACQ655367 AMM655366:AMM655367 AWI655366:AWI655367 BGE655366:BGE655367 BQA655366:BQA655367 BZW655366:BZW655367 CJS655366:CJS655367 CTO655366:CTO655367 DDK655366:DDK655367 DNG655366:DNG655367 DXC655366:DXC655367 EGY655366:EGY655367 EQU655366:EQU655367 FAQ655366:FAQ655367 FKM655366:FKM655367 FUI655366:FUI655367 GEE655366:GEE655367 GOA655366:GOA655367 GXW655366:GXW655367 HHS655366:HHS655367 HRO655366:HRO655367 IBK655366:IBK655367 ILG655366:ILG655367 IVC655366:IVC655367 JEY655366:JEY655367 JOU655366:JOU655367 JYQ655366:JYQ655367 KIM655366:KIM655367 KSI655366:KSI655367 LCE655366:LCE655367 LMA655366:LMA655367 LVW655366:LVW655367 MFS655366:MFS655367 MPO655366:MPO655367 MZK655366:MZK655367 NJG655366:NJG655367 NTC655366:NTC655367 OCY655366:OCY655367 OMU655366:OMU655367 OWQ655366:OWQ655367 PGM655366:PGM655367 PQI655366:PQI655367 QAE655366:QAE655367 QKA655366:QKA655367 QTW655366:QTW655367 RDS655366:RDS655367 RNO655366:RNO655367 RXK655366:RXK655367 SHG655366:SHG655367 SRC655366:SRC655367 TAY655366:TAY655367 TKU655366:TKU655367 TUQ655366:TUQ655367 UEM655366:UEM655367 UOI655366:UOI655367 UYE655366:UYE655367 VIA655366:VIA655367 VRW655366:VRW655367 WBS655366:WBS655367 WLO655366:WLO655367 WVK655366:WVK655367 F720902:F720903 IY720902:IY720903 SU720902:SU720903 ACQ720902:ACQ720903 AMM720902:AMM720903 AWI720902:AWI720903 BGE720902:BGE720903 BQA720902:BQA720903 BZW720902:BZW720903 CJS720902:CJS720903 CTO720902:CTO720903 DDK720902:DDK720903 DNG720902:DNG720903 DXC720902:DXC720903 EGY720902:EGY720903 EQU720902:EQU720903 FAQ720902:FAQ720903 FKM720902:FKM720903 FUI720902:FUI720903 GEE720902:GEE720903 GOA720902:GOA720903 GXW720902:GXW720903 HHS720902:HHS720903 HRO720902:HRO720903 IBK720902:IBK720903 ILG720902:ILG720903 IVC720902:IVC720903 JEY720902:JEY720903 JOU720902:JOU720903 JYQ720902:JYQ720903 KIM720902:KIM720903 KSI720902:KSI720903 LCE720902:LCE720903 LMA720902:LMA720903 LVW720902:LVW720903 MFS720902:MFS720903 MPO720902:MPO720903 MZK720902:MZK720903 NJG720902:NJG720903 NTC720902:NTC720903 OCY720902:OCY720903 OMU720902:OMU720903 OWQ720902:OWQ720903 PGM720902:PGM720903 PQI720902:PQI720903 QAE720902:QAE720903 QKA720902:QKA720903 QTW720902:QTW720903 RDS720902:RDS720903 RNO720902:RNO720903 RXK720902:RXK720903 SHG720902:SHG720903 SRC720902:SRC720903 TAY720902:TAY720903 TKU720902:TKU720903 TUQ720902:TUQ720903 UEM720902:UEM720903 UOI720902:UOI720903 UYE720902:UYE720903 VIA720902:VIA720903 VRW720902:VRW720903 WBS720902:WBS720903 WLO720902:WLO720903 WVK720902:WVK720903 F786438:F786439 IY786438:IY786439 SU786438:SU786439 ACQ786438:ACQ786439 AMM786438:AMM786439 AWI786438:AWI786439 BGE786438:BGE786439 BQA786438:BQA786439 BZW786438:BZW786439 CJS786438:CJS786439 CTO786438:CTO786439 DDK786438:DDK786439 DNG786438:DNG786439 DXC786438:DXC786439 EGY786438:EGY786439 EQU786438:EQU786439 FAQ786438:FAQ786439 FKM786438:FKM786439 FUI786438:FUI786439 GEE786438:GEE786439 GOA786438:GOA786439 GXW786438:GXW786439 HHS786438:HHS786439 HRO786438:HRO786439 IBK786438:IBK786439 ILG786438:ILG786439 IVC786438:IVC786439 JEY786438:JEY786439 JOU786438:JOU786439 JYQ786438:JYQ786439 KIM786438:KIM786439 KSI786438:KSI786439 LCE786438:LCE786439 LMA786438:LMA786439 LVW786438:LVW786439 MFS786438:MFS786439 MPO786438:MPO786439 MZK786438:MZK786439 NJG786438:NJG786439 NTC786438:NTC786439 OCY786438:OCY786439 OMU786438:OMU786439 OWQ786438:OWQ786439 PGM786438:PGM786439 PQI786438:PQI786439 QAE786438:QAE786439 QKA786438:QKA786439 QTW786438:QTW786439 RDS786438:RDS786439 RNO786438:RNO786439 RXK786438:RXK786439 SHG786438:SHG786439 SRC786438:SRC786439 TAY786438:TAY786439 TKU786438:TKU786439 TUQ786438:TUQ786439 UEM786438:UEM786439 UOI786438:UOI786439 UYE786438:UYE786439 VIA786438:VIA786439 VRW786438:VRW786439 WBS786438:WBS786439 WLO786438:WLO786439 WVK786438:WVK786439 F851974:F851975 IY851974:IY851975 SU851974:SU851975 ACQ851974:ACQ851975 AMM851974:AMM851975 AWI851974:AWI851975 BGE851974:BGE851975 BQA851974:BQA851975 BZW851974:BZW851975 CJS851974:CJS851975 CTO851974:CTO851975 DDK851974:DDK851975 DNG851974:DNG851975 DXC851974:DXC851975 EGY851974:EGY851975 EQU851974:EQU851975 FAQ851974:FAQ851975 FKM851974:FKM851975 FUI851974:FUI851975 GEE851974:GEE851975 GOA851974:GOA851975 GXW851974:GXW851975 HHS851974:HHS851975 HRO851974:HRO851975 IBK851974:IBK851975 ILG851974:ILG851975 IVC851974:IVC851975 JEY851974:JEY851975 JOU851974:JOU851975 JYQ851974:JYQ851975 KIM851974:KIM851975 KSI851974:KSI851975 LCE851974:LCE851975 LMA851974:LMA851975 LVW851974:LVW851975 MFS851974:MFS851975 MPO851974:MPO851975 MZK851974:MZK851975 NJG851974:NJG851975 NTC851974:NTC851975 OCY851974:OCY851975 OMU851974:OMU851975 OWQ851974:OWQ851975 PGM851974:PGM851975 PQI851974:PQI851975 QAE851974:QAE851975 QKA851974:QKA851975 QTW851974:QTW851975 RDS851974:RDS851975 RNO851974:RNO851975 RXK851974:RXK851975 SHG851974:SHG851975 SRC851974:SRC851975 TAY851974:TAY851975 TKU851974:TKU851975 TUQ851974:TUQ851975 UEM851974:UEM851975 UOI851974:UOI851975 UYE851974:UYE851975 VIA851974:VIA851975 VRW851974:VRW851975 WBS851974:WBS851975 WLO851974:WLO851975 WVK851974:WVK851975 F917510:F917511 IY917510:IY917511 SU917510:SU917511 ACQ917510:ACQ917511 AMM917510:AMM917511 AWI917510:AWI917511 BGE917510:BGE917511 BQA917510:BQA917511 BZW917510:BZW917511 CJS917510:CJS917511 CTO917510:CTO917511 DDK917510:DDK917511 DNG917510:DNG917511 DXC917510:DXC917511 EGY917510:EGY917511 EQU917510:EQU917511 FAQ917510:FAQ917511 FKM917510:FKM917511 FUI917510:FUI917511 GEE917510:GEE917511 GOA917510:GOA917511 GXW917510:GXW917511 HHS917510:HHS917511 HRO917510:HRO917511 IBK917510:IBK917511 ILG917510:ILG917511 IVC917510:IVC917511 JEY917510:JEY917511 JOU917510:JOU917511 JYQ917510:JYQ917511 KIM917510:KIM917511 KSI917510:KSI917511 LCE917510:LCE917511 LMA917510:LMA917511 LVW917510:LVW917511 MFS917510:MFS917511 MPO917510:MPO917511 MZK917510:MZK917511 NJG917510:NJG917511 NTC917510:NTC917511 OCY917510:OCY917511 OMU917510:OMU917511 OWQ917510:OWQ917511 PGM917510:PGM917511 PQI917510:PQI917511 QAE917510:QAE917511 QKA917510:QKA917511 QTW917510:QTW917511 RDS917510:RDS917511 RNO917510:RNO917511 RXK917510:RXK917511 SHG917510:SHG917511 SRC917510:SRC917511 TAY917510:TAY917511 TKU917510:TKU917511 TUQ917510:TUQ917511 UEM917510:UEM917511 UOI917510:UOI917511 UYE917510:UYE917511 VIA917510:VIA917511 VRW917510:VRW917511 WBS917510:WBS917511 WLO917510:WLO917511 WVK917510:WVK917511 F983046:F983047 IY983046:IY983047 SU983046:SU983047 ACQ983046:ACQ983047 AMM983046:AMM983047 AWI983046:AWI983047 BGE983046:BGE983047 BQA983046:BQA983047 BZW983046:BZW983047 CJS983046:CJS983047 CTO983046:CTO983047 DDK983046:DDK983047 DNG983046:DNG983047 DXC983046:DXC983047 EGY983046:EGY983047 EQU983046:EQU983047 FAQ983046:FAQ983047 FKM983046:FKM983047 FUI983046:FUI983047 GEE983046:GEE983047 GOA983046:GOA983047 GXW983046:GXW983047 HHS983046:HHS983047 HRO983046:HRO983047 IBK983046:IBK983047 ILG983046:ILG983047 IVC983046:IVC983047 JEY983046:JEY983047 JOU983046:JOU983047 JYQ983046:JYQ983047 KIM983046:KIM983047 KSI983046:KSI983047 LCE983046:LCE983047 LMA983046:LMA983047 LVW983046:LVW983047 MFS983046:MFS983047 MPO983046:MPO983047 MZK983046:MZK983047 NJG983046:NJG983047 NTC983046:NTC983047 OCY983046:OCY983047 OMU983046:OMU983047 OWQ983046:OWQ983047 PGM983046:PGM983047 PQI983046:PQI983047 QAE983046:QAE983047 QKA983046:QKA983047 QTW983046:QTW983047 RDS983046:RDS983047 RNO983046:RNO983047 RXK983046:RXK983047 SHG983046:SHG983047 SRC983046:SRC983047 TAY983046:TAY983047 TKU983046:TKU983047 TUQ983046:TUQ983047 UEM983046:UEM983047 UOI983046:UOI983047 UYE983046:UYE983047 VIA983046:VIA983047 VRW983046:VRW983047 WBS983046:WBS983047 WLO983046:WLO983047 WVK983046:WVK983047 I55:I56 IW10:IW11 SS10:SS11 ACO10:ACO11 AMK10:AMK11 AWG10:AWG11 BGC10:BGC11 BPY10:BPY11 BZU10:BZU11 CJQ10:CJQ11 CTM10:CTM11 DDI10:DDI11 DNE10:DNE11 DXA10:DXA11 EGW10:EGW11 EQS10:EQS11 FAO10:FAO11 FKK10:FKK11 FUG10:FUG11 GEC10:GEC11 GNY10:GNY11 GXU10:GXU11 HHQ10:HHQ11 HRM10:HRM11 IBI10:IBI11 ILE10:ILE11 IVA10:IVA11 JEW10:JEW11 JOS10:JOS11 JYO10:JYO11 KIK10:KIK11 KSG10:KSG11 LCC10:LCC11 LLY10:LLY11 LVU10:LVU11 MFQ10:MFQ11 MPM10:MPM11 MZI10:MZI11 NJE10:NJE11 NTA10:NTA11 OCW10:OCW11 OMS10:OMS11 OWO10:OWO11 PGK10:PGK11 PQG10:PQG11 QAC10:QAC11 QJY10:QJY11 QTU10:QTU11 RDQ10:RDQ11 RNM10:RNM11 RXI10:RXI11 SHE10:SHE11 SRA10:SRA11 TAW10:TAW11 TKS10:TKS11 TUO10:TUO11 UEK10:UEK11 UOG10:UOG11 UYC10:UYC11 VHY10:VHY11 VRU10:VRU11 WBQ10:WBQ11 WLM10:WLM11 WVI10:WVI11 D65542:D65543 IW65542:IW65543 SS65542:SS65543 ACO65542:ACO65543 AMK65542:AMK65543 AWG65542:AWG65543 BGC65542:BGC65543 BPY65542:BPY65543 BZU65542:BZU65543 CJQ65542:CJQ65543 CTM65542:CTM65543 DDI65542:DDI65543 DNE65542:DNE65543 DXA65542:DXA65543 EGW65542:EGW65543 EQS65542:EQS65543 FAO65542:FAO65543 FKK65542:FKK65543 FUG65542:FUG65543 GEC65542:GEC65543 GNY65542:GNY65543 GXU65542:GXU65543 HHQ65542:HHQ65543 HRM65542:HRM65543 IBI65542:IBI65543 ILE65542:ILE65543 IVA65542:IVA65543 JEW65542:JEW65543 JOS65542:JOS65543 JYO65542:JYO65543 KIK65542:KIK65543 KSG65542:KSG65543 LCC65542:LCC65543 LLY65542:LLY65543 LVU65542:LVU65543 MFQ65542:MFQ65543 MPM65542:MPM65543 MZI65542:MZI65543 NJE65542:NJE65543 NTA65542:NTA65543 OCW65542:OCW65543 OMS65542:OMS65543 OWO65542:OWO65543 PGK65542:PGK65543 PQG65542:PQG65543 QAC65542:QAC65543 QJY65542:QJY65543 QTU65542:QTU65543 RDQ65542:RDQ65543 RNM65542:RNM65543 RXI65542:RXI65543 SHE65542:SHE65543 SRA65542:SRA65543 TAW65542:TAW65543 TKS65542:TKS65543 TUO65542:TUO65543 UEK65542:UEK65543 UOG65542:UOG65543 UYC65542:UYC65543 VHY65542:VHY65543 VRU65542:VRU65543 WBQ65542:WBQ65543 WLM65542:WLM65543 WVI65542:WVI65543 D131078:D131079 IW131078:IW131079 SS131078:SS131079 ACO131078:ACO131079 AMK131078:AMK131079 AWG131078:AWG131079 BGC131078:BGC131079 BPY131078:BPY131079 BZU131078:BZU131079 CJQ131078:CJQ131079 CTM131078:CTM131079 DDI131078:DDI131079 DNE131078:DNE131079 DXA131078:DXA131079 EGW131078:EGW131079 EQS131078:EQS131079 FAO131078:FAO131079 FKK131078:FKK131079 FUG131078:FUG131079 GEC131078:GEC131079 GNY131078:GNY131079 GXU131078:GXU131079 HHQ131078:HHQ131079 HRM131078:HRM131079 IBI131078:IBI131079 ILE131078:ILE131079 IVA131078:IVA131079 JEW131078:JEW131079 JOS131078:JOS131079 JYO131078:JYO131079 KIK131078:KIK131079 KSG131078:KSG131079 LCC131078:LCC131079 LLY131078:LLY131079 LVU131078:LVU131079 MFQ131078:MFQ131079 MPM131078:MPM131079 MZI131078:MZI131079 NJE131078:NJE131079 NTA131078:NTA131079 OCW131078:OCW131079 OMS131078:OMS131079 OWO131078:OWO131079 PGK131078:PGK131079 PQG131078:PQG131079 QAC131078:QAC131079 QJY131078:QJY131079 QTU131078:QTU131079 RDQ131078:RDQ131079 RNM131078:RNM131079 RXI131078:RXI131079 SHE131078:SHE131079 SRA131078:SRA131079 TAW131078:TAW131079 TKS131078:TKS131079 TUO131078:TUO131079 UEK131078:UEK131079 UOG131078:UOG131079 UYC131078:UYC131079 VHY131078:VHY131079 VRU131078:VRU131079 WBQ131078:WBQ131079 WLM131078:WLM131079 WVI131078:WVI131079 D196614:D196615 IW196614:IW196615 SS196614:SS196615 ACO196614:ACO196615 AMK196614:AMK196615 AWG196614:AWG196615 BGC196614:BGC196615 BPY196614:BPY196615 BZU196614:BZU196615 CJQ196614:CJQ196615 CTM196614:CTM196615 DDI196614:DDI196615 DNE196614:DNE196615 DXA196614:DXA196615 EGW196614:EGW196615 EQS196614:EQS196615 FAO196614:FAO196615 FKK196614:FKK196615 FUG196614:FUG196615 GEC196614:GEC196615 GNY196614:GNY196615 GXU196614:GXU196615 HHQ196614:HHQ196615 HRM196614:HRM196615 IBI196614:IBI196615 ILE196614:ILE196615 IVA196614:IVA196615 JEW196614:JEW196615 JOS196614:JOS196615 JYO196614:JYO196615 KIK196614:KIK196615 KSG196614:KSG196615 LCC196614:LCC196615 LLY196614:LLY196615 LVU196614:LVU196615 MFQ196614:MFQ196615 MPM196614:MPM196615 MZI196614:MZI196615 NJE196614:NJE196615 NTA196614:NTA196615 OCW196614:OCW196615 OMS196614:OMS196615 OWO196614:OWO196615 PGK196614:PGK196615 PQG196614:PQG196615 QAC196614:QAC196615 QJY196614:QJY196615 QTU196614:QTU196615 RDQ196614:RDQ196615 RNM196614:RNM196615 RXI196614:RXI196615 SHE196614:SHE196615 SRA196614:SRA196615 TAW196614:TAW196615 TKS196614:TKS196615 TUO196614:TUO196615 UEK196614:UEK196615 UOG196614:UOG196615 UYC196614:UYC196615 VHY196614:VHY196615 VRU196614:VRU196615 WBQ196614:WBQ196615 WLM196614:WLM196615 WVI196614:WVI196615 D262150:D262151 IW262150:IW262151 SS262150:SS262151 ACO262150:ACO262151 AMK262150:AMK262151 AWG262150:AWG262151 BGC262150:BGC262151 BPY262150:BPY262151 BZU262150:BZU262151 CJQ262150:CJQ262151 CTM262150:CTM262151 DDI262150:DDI262151 DNE262150:DNE262151 DXA262150:DXA262151 EGW262150:EGW262151 EQS262150:EQS262151 FAO262150:FAO262151 FKK262150:FKK262151 FUG262150:FUG262151 GEC262150:GEC262151 GNY262150:GNY262151 GXU262150:GXU262151 HHQ262150:HHQ262151 HRM262150:HRM262151 IBI262150:IBI262151 ILE262150:ILE262151 IVA262150:IVA262151 JEW262150:JEW262151 JOS262150:JOS262151 JYO262150:JYO262151 KIK262150:KIK262151 KSG262150:KSG262151 LCC262150:LCC262151 LLY262150:LLY262151 LVU262150:LVU262151 MFQ262150:MFQ262151 MPM262150:MPM262151 MZI262150:MZI262151 NJE262150:NJE262151 NTA262150:NTA262151 OCW262150:OCW262151 OMS262150:OMS262151 OWO262150:OWO262151 PGK262150:PGK262151 PQG262150:PQG262151 QAC262150:QAC262151 QJY262150:QJY262151 QTU262150:QTU262151 RDQ262150:RDQ262151 RNM262150:RNM262151 RXI262150:RXI262151 SHE262150:SHE262151 SRA262150:SRA262151 TAW262150:TAW262151 TKS262150:TKS262151 TUO262150:TUO262151 UEK262150:UEK262151 UOG262150:UOG262151 UYC262150:UYC262151 VHY262150:VHY262151 VRU262150:VRU262151 WBQ262150:WBQ262151 WLM262150:WLM262151 WVI262150:WVI262151 D327686:D327687 IW327686:IW327687 SS327686:SS327687 ACO327686:ACO327687 AMK327686:AMK327687 AWG327686:AWG327687 BGC327686:BGC327687 BPY327686:BPY327687 BZU327686:BZU327687 CJQ327686:CJQ327687 CTM327686:CTM327687 DDI327686:DDI327687 DNE327686:DNE327687 DXA327686:DXA327687 EGW327686:EGW327687 EQS327686:EQS327687 FAO327686:FAO327687 FKK327686:FKK327687 FUG327686:FUG327687 GEC327686:GEC327687 GNY327686:GNY327687 GXU327686:GXU327687 HHQ327686:HHQ327687 HRM327686:HRM327687 IBI327686:IBI327687 ILE327686:ILE327687 IVA327686:IVA327687 JEW327686:JEW327687 JOS327686:JOS327687 JYO327686:JYO327687 KIK327686:KIK327687 KSG327686:KSG327687 LCC327686:LCC327687 LLY327686:LLY327687 LVU327686:LVU327687 MFQ327686:MFQ327687 MPM327686:MPM327687 MZI327686:MZI327687 NJE327686:NJE327687 NTA327686:NTA327687 OCW327686:OCW327687 OMS327686:OMS327687 OWO327686:OWO327687 PGK327686:PGK327687 PQG327686:PQG327687 QAC327686:QAC327687 QJY327686:QJY327687 QTU327686:QTU327687 RDQ327686:RDQ327687 RNM327686:RNM327687 RXI327686:RXI327687 SHE327686:SHE327687 SRA327686:SRA327687 TAW327686:TAW327687 TKS327686:TKS327687 TUO327686:TUO327687 UEK327686:UEK327687 UOG327686:UOG327687 UYC327686:UYC327687 VHY327686:VHY327687 VRU327686:VRU327687 WBQ327686:WBQ327687 WLM327686:WLM327687 WVI327686:WVI327687 D393222:D393223 IW393222:IW393223 SS393222:SS393223 ACO393222:ACO393223 AMK393222:AMK393223 AWG393222:AWG393223 BGC393222:BGC393223 BPY393222:BPY393223 BZU393222:BZU393223 CJQ393222:CJQ393223 CTM393222:CTM393223 DDI393222:DDI393223 DNE393222:DNE393223 DXA393222:DXA393223 EGW393222:EGW393223 EQS393222:EQS393223 FAO393222:FAO393223 FKK393222:FKK393223 FUG393222:FUG393223 GEC393222:GEC393223 GNY393222:GNY393223 GXU393222:GXU393223 HHQ393222:HHQ393223 HRM393222:HRM393223 IBI393222:IBI393223 ILE393222:ILE393223 IVA393222:IVA393223 JEW393222:JEW393223 JOS393222:JOS393223 JYO393222:JYO393223 KIK393222:KIK393223 KSG393222:KSG393223 LCC393222:LCC393223 LLY393222:LLY393223 LVU393222:LVU393223 MFQ393222:MFQ393223 MPM393222:MPM393223 MZI393222:MZI393223 NJE393222:NJE393223 NTA393222:NTA393223 OCW393222:OCW393223 OMS393222:OMS393223 OWO393222:OWO393223 PGK393222:PGK393223 PQG393222:PQG393223 QAC393222:QAC393223 QJY393222:QJY393223 QTU393222:QTU393223 RDQ393222:RDQ393223 RNM393222:RNM393223 RXI393222:RXI393223 SHE393222:SHE393223 SRA393222:SRA393223 TAW393222:TAW393223 TKS393222:TKS393223 TUO393222:TUO393223 UEK393222:UEK393223 UOG393222:UOG393223 UYC393222:UYC393223 VHY393222:VHY393223 VRU393222:VRU393223 WBQ393222:WBQ393223 WLM393222:WLM393223 WVI393222:WVI393223 D458758:D458759 IW458758:IW458759 SS458758:SS458759 ACO458758:ACO458759 AMK458758:AMK458759 AWG458758:AWG458759 BGC458758:BGC458759 BPY458758:BPY458759 BZU458758:BZU458759 CJQ458758:CJQ458759 CTM458758:CTM458759 DDI458758:DDI458759 DNE458758:DNE458759 DXA458758:DXA458759 EGW458758:EGW458759 EQS458758:EQS458759 FAO458758:FAO458759 FKK458758:FKK458759 FUG458758:FUG458759 GEC458758:GEC458759 GNY458758:GNY458759 GXU458758:GXU458759 HHQ458758:HHQ458759 HRM458758:HRM458759 IBI458758:IBI458759 ILE458758:ILE458759 IVA458758:IVA458759 JEW458758:JEW458759 JOS458758:JOS458759 JYO458758:JYO458759 KIK458758:KIK458759 KSG458758:KSG458759 LCC458758:LCC458759 LLY458758:LLY458759 LVU458758:LVU458759 MFQ458758:MFQ458759 MPM458758:MPM458759 MZI458758:MZI458759 NJE458758:NJE458759 NTA458758:NTA458759 OCW458758:OCW458759 OMS458758:OMS458759 OWO458758:OWO458759 PGK458758:PGK458759 PQG458758:PQG458759 QAC458758:QAC458759 QJY458758:QJY458759 QTU458758:QTU458759 RDQ458758:RDQ458759 RNM458758:RNM458759 RXI458758:RXI458759 SHE458758:SHE458759 SRA458758:SRA458759 TAW458758:TAW458759 TKS458758:TKS458759 TUO458758:TUO458759 UEK458758:UEK458759 UOG458758:UOG458759 UYC458758:UYC458759 VHY458758:VHY458759 VRU458758:VRU458759 WBQ458758:WBQ458759 WLM458758:WLM458759 WVI458758:WVI458759 D524294:D524295 IW524294:IW524295 SS524294:SS524295 ACO524294:ACO524295 AMK524294:AMK524295 AWG524294:AWG524295 BGC524294:BGC524295 BPY524294:BPY524295 BZU524294:BZU524295 CJQ524294:CJQ524295 CTM524294:CTM524295 DDI524294:DDI524295 DNE524294:DNE524295 DXA524294:DXA524295 EGW524294:EGW524295 EQS524294:EQS524295 FAO524294:FAO524295 FKK524294:FKK524295 FUG524294:FUG524295 GEC524294:GEC524295 GNY524294:GNY524295 GXU524294:GXU524295 HHQ524294:HHQ524295 HRM524294:HRM524295 IBI524294:IBI524295 ILE524294:ILE524295 IVA524294:IVA524295 JEW524294:JEW524295 JOS524294:JOS524295 JYO524294:JYO524295 KIK524294:KIK524295 KSG524294:KSG524295 LCC524294:LCC524295 LLY524294:LLY524295 LVU524294:LVU524295 MFQ524294:MFQ524295 MPM524294:MPM524295 MZI524294:MZI524295 NJE524294:NJE524295 NTA524294:NTA524295 OCW524294:OCW524295 OMS524294:OMS524295 OWO524294:OWO524295 PGK524294:PGK524295 PQG524294:PQG524295 QAC524294:QAC524295 QJY524294:QJY524295 QTU524294:QTU524295 RDQ524294:RDQ524295 RNM524294:RNM524295 RXI524294:RXI524295 SHE524294:SHE524295 SRA524294:SRA524295 TAW524294:TAW524295 TKS524294:TKS524295 TUO524294:TUO524295 UEK524294:UEK524295 UOG524294:UOG524295 UYC524294:UYC524295 VHY524294:VHY524295 VRU524294:VRU524295 WBQ524294:WBQ524295 WLM524294:WLM524295 WVI524294:WVI524295 D589830:D589831 IW589830:IW589831 SS589830:SS589831 ACO589830:ACO589831 AMK589830:AMK589831 AWG589830:AWG589831 BGC589830:BGC589831 BPY589830:BPY589831 BZU589830:BZU589831 CJQ589830:CJQ589831 CTM589830:CTM589831 DDI589830:DDI589831 DNE589830:DNE589831 DXA589830:DXA589831 EGW589830:EGW589831 EQS589830:EQS589831 FAO589830:FAO589831 FKK589830:FKK589831 FUG589830:FUG589831 GEC589830:GEC589831 GNY589830:GNY589831 GXU589830:GXU589831 HHQ589830:HHQ589831 HRM589830:HRM589831 IBI589830:IBI589831 ILE589830:ILE589831 IVA589830:IVA589831 JEW589830:JEW589831 JOS589830:JOS589831 JYO589830:JYO589831 KIK589830:KIK589831 KSG589830:KSG589831 LCC589830:LCC589831 LLY589830:LLY589831 LVU589830:LVU589831 MFQ589830:MFQ589831 MPM589830:MPM589831 MZI589830:MZI589831 NJE589830:NJE589831 NTA589830:NTA589831 OCW589830:OCW589831 OMS589830:OMS589831 OWO589830:OWO589831 PGK589830:PGK589831 PQG589830:PQG589831 QAC589830:QAC589831 QJY589830:QJY589831 QTU589830:QTU589831 RDQ589830:RDQ589831 RNM589830:RNM589831 RXI589830:RXI589831 SHE589830:SHE589831 SRA589830:SRA589831 TAW589830:TAW589831 TKS589830:TKS589831 TUO589830:TUO589831 UEK589830:UEK589831 UOG589830:UOG589831 UYC589830:UYC589831 VHY589830:VHY589831 VRU589830:VRU589831 WBQ589830:WBQ589831 WLM589830:WLM589831 WVI589830:WVI589831 D655366:D655367 IW655366:IW655367 SS655366:SS655367 ACO655366:ACO655367 AMK655366:AMK655367 AWG655366:AWG655367 BGC655366:BGC655367 BPY655366:BPY655367 BZU655366:BZU655367 CJQ655366:CJQ655367 CTM655366:CTM655367 DDI655366:DDI655367 DNE655366:DNE655367 DXA655366:DXA655367 EGW655366:EGW655367 EQS655366:EQS655367 FAO655366:FAO655367 FKK655366:FKK655367 FUG655366:FUG655367 GEC655366:GEC655367 GNY655366:GNY655367 GXU655366:GXU655367 HHQ655366:HHQ655367 HRM655366:HRM655367 IBI655366:IBI655367 ILE655366:ILE655367 IVA655366:IVA655367 JEW655366:JEW655367 JOS655366:JOS655367 JYO655366:JYO655367 KIK655366:KIK655367 KSG655366:KSG655367 LCC655366:LCC655367 LLY655366:LLY655367 LVU655366:LVU655367 MFQ655366:MFQ655367 MPM655366:MPM655367 MZI655366:MZI655367 NJE655366:NJE655367 NTA655366:NTA655367 OCW655366:OCW655367 OMS655366:OMS655367 OWO655366:OWO655367 PGK655366:PGK655367 PQG655366:PQG655367 QAC655366:QAC655367 QJY655366:QJY655367 QTU655366:QTU655367 RDQ655366:RDQ655367 RNM655366:RNM655367 RXI655366:RXI655367 SHE655366:SHE655367 SRA655366:SRA655367 TAW655366:TAW655367 TKS655366:TKS655367 TUO655366:TUO655367 UEK655366:UEK655367 UOG655366:UOG655367 UYC655366:UYC655367 VHY655366:VHY655367 VRU655366:VRU655367 WBQ655366:WBQ655367 WLM655366:WLM655367 WVI655366:WVI655367 D720902:D720903 IW720902:IW720903 SS720902:SS720903 ACO720902:ACO720903 AMK720902:AMK720903 AWG720902:AWG720903 BGC720902:BGC720903 BPY720902:BPY720903 BZU720902:BZU720903 CJQ720902:CJQ720903 CTM720902:CTM720903 DDI720902:DDI720903 DNE720902:DNE720903 DXA720902:DXA720903 EGW720902:EGW720903 EQS720902:EQS720903 FAO720902:FAO720903 FKK720902:FKK720903 FUG720902:FUG720903 GEC720902:GEC720903 GNY720902:GNY720903 GXU720902:GXU720903 HHQ720902:HHQ720903 HRM720902:HRM720903 IBI720902:IBI720903 ILE720902:ILE720903 IVA720902:IVA720903 JEW720902:JEW720903 JOS720902:JOS720903 JYO720902:JYO720903 KIK720902:KIK720903 KSG720902:KSG720903 LCC720902:LCC720903 LLY720902:LLY720903 LVU720902:LVU720903 MFQ720902:MFQ720903 MPM720902:MPM720903 MZI720902:MZI720903 NJE720902:NJE720903 NTA720902:NTA720903 OCW720902:OCW720903 OMS720902:OMS720903 OWO720902:OWO720903 PGK720902:PGK720903 PQG720902:PQG720903 QAC720902:QAC720903 QJY720902:QJY720903 QTU720902:QTU720903 RDQ720902:RDQ720903 RNM720902:RNM720903 RXI720902:RXI720903 SHE720902:SHE720903 SRA720902:SRA720903 TAW720902:TAW720903 TKS720902:TKS720903 TUO720902:TUO720903 UEK720902:UEK720903 UOG720902:UOG720903 UYC720902:UYC720903 VHY720902:VHY720903 VRU720902:VRU720903 WBQ720902:WBQ720903 WLM720902:WLM720903 WVI720902:WVI720903 D786438:D786439 IW786438:IW786439 SS786438:SS786439 ACO786438:ACO786439 AMK786438:AMK786439 AWG786438:AWG786439 BGC786438:BGC786439 BPY786438:BPY786439 BZU786438:BZU786439 CJQ786438:CJQ786439 CTM786438:CTM786439 DDI786438:DDI786439 DNE786438:DNE786439 DXA786438:DXA786439 EGW786438:EGW786439 EQS786438:EQS786439 FAO786438:FAO786439 FKK786438:FKK786439 FUG786438:FUG786439 GEC786438:GEC786439 GNY786438:GNY786439 GXU786438:GXU786439 HHQ786438:HHQ786439 HRM786438:HRM786439 IBI786438:IBI786439 ILE786438:ILE786439 IVA786438:IVA786439 JEW786438:JEW786439 JOS786438:JOS786439 JYO786438:JYO786439 KIK786438:KIK786439 KSG786438:KSG786439 LCC786438:LCC786439 LLY786438:LLY786439 LVU786438:LVU786439 MFQ786438:MFQ786439 MPM786438:MPM786439 MZI786438:MZI786439 NJE786438:NJE786439 NTA786438:NTA786439 OCW786438:OCW786439 OMS786438:OMS786439 OWO786438:OWO786439 PGK786438:PGK786439 PQG786438:PQG786439 QAC786438:QAC786439 QJY786438:QJY786439 QTU786438:QTU786439 RDQ786438:RDQ786439 RNM786438:RNM786439 RXI786438:RXI786439 SHE786438:SHE786439 SRA786438:SRA786439 TAW786438:TAW786439 TKS786438:TKS786439 TUO786438:TUO786439 UEK786438:UEK786439 UOG786438:UOG786439 UYC786438:UYC786439 VHY786438:VHY786439 VRU786438:VRU786439 WBQ786438:WBQ786439 WLM786438:WLM786439 WVI786438:WVI786439 D851974:D851975 IW851974:IW851975 SS851974:SS851975 ACO851974:ACO851975 AMK851974:AMK851975 AWG851974:AWG851975 BGC851974:BGC851975 BPY851974:BPY851975 BZU851974:BZU851975 CJQ851974:CJQ851975 CTM851974:CTM851975 DDI851974:DDI851975 DNE851974:DNE851975 DXA851974:DXA851975 EGW851974:EGW851975 EQS851974:EQS851975 FAO851974:FAO851975 FKK851974:FKK851975 FUG851974:FUG851975 GEC851974:GEC851975 GNY851974:GNY851975 GXU851974:GXU851975 HHQ851974:HHQ851975 HRM851974:HRM851975 IBI851974:IBI851975 ILE851974:ILE851975 IVA851974:IVA851975 JEW851974:JEW851975 JOS851974:JOS851975 JYO851974:JYO851975 KIK851974:KIK851975 KSG851974:KSG851975 LCC851974:LCC851975 LLY851974:LLY851975 LVU851974:LVU851975 MFQ851974:MFQ851975 MPM851974:MPM851975 MZI851974:MZI851975 NJE851974:NJE851975 NTA851974:NTA851975 OCW851974:OCW851975 OMS851974:OMS851975 OWO851974:OWO851975 PGK851974:PGK851975 PQG851974:PQG851975 QAC851974:QAC851975 QJY851974:QJY851975 QTU851974:QTU851975 RDQ851974:RDQ851975 RNM851974:RNM851975 RXI851974:RXI851975 SHE851974:SHE851975 SRA851974:SRA851975 TAW851974:TAW851975 TKS851974:TKS851975 TUO851974:TUO851975 UEK851974:UEK851975 UOG851974:UOG851975 UYC851974:UYC851975 VHY851974:VHY851975 VRU851974:VRU851975 WBQ851974:WBQ851975 WLM851974:WLM851975 WVI851974:WVI851975 D917510:D917511 IW917510:IW917511 SS917510:SS917511 ACO917510:ACO917511 AMK917510:AMK917511 AWG917510:AWG917511 BGC917510:BGC917511 BPY917510:BPY917511 BZU917510:BZU917511 CJQ917510:CJQ917511 CTM917510:CTM917511 DDI917510:DDI917511 DNE917510:DNE917511 DXA917510:DXA917511 EGW917510:EGW917511 EQS917510:EQS917511 FAO917510:FAO917511 FKK917510:FKK917511 FUG917510:FUG917511 GEC917510:GEC917511 GNY917510:GNY917511 GXU917510:GXU917511 HHQ917510:HHQ917511 HRM917510:HRM917511 IBI917510:IBI917511 ILE917510:ILE917511 IVA917510:IVA917511 JEW917510:JEW917511 JOS917510:JOS917511 JYO917510:JYO917511 KIK917510:KIK917511 KSG917510:KSG917511 LCC917510:LCC917511 LLY917510:LLY917511 LVU917510:LVU917511 MFQ917510:MFQ917511 MPM917510:MPM917511 MZI917510:MZI917511 NJE917510:NJE917511 NTA917510:NTA917511 OCW917510:OCW917511 OMS917510:OMS917511 OWO917510:OWO917511 PGK917510:PGK917511 PQG917510:PQG917511 QAC917510:QAC917511 QJY917510:QJY917511 QTU917510:QTU917511 RDQ917510:RDQ917511 RNM917510:RNM917511 RXI917510:RXI917511 SHE917510:SHE917511 SRA917510:SRA917511 TAW917510:TAW917511 TKS917510:TKS917511 TUO917510:TUO917511 UEK917510:UEK917511 UOG917510:UOG917511 UYC917510:UYC917511 VHY917510:VHY917511 VRU917510:VRU917511 WBQ917510:WBQ917511 WLM917510:WLM917511 WVI917510:WVI917511 D983046:D983047 IW983046:IW983047 SS983046:SS983047 ACO983046:ACO983047 AMK983046:AMK983047 AWG983046:AWG983047 BGC983046:BGC983047 BPY983046:BPY983047 BZU983046:BZU983047 CJQ983046:CJQ983047 CTM983046:CTM983047 DDI983046:DDI983047 DNE983046:DNE983047 DXA983046:DXA983047 EGW983046:EGW983047 EQS983046:EQS983047 FAO983046:FAO983047 FKK983046:FKK983047 FUG983046:FUG983047 GEC983046:GEC983047 GNY983046:GNY983047 GXU983046:GXU983047 HHQ983046:HHQ983047 HRM983046:HRM983047 IBI983046:IBI983047 ILE983046:ILE983047 IVA983046:IVA983047 JEW983046:JEW983047 JOS983046:JOS983047 JYO983046:JYO983047 KIK983046:KIK983047 KSG983046:KSG983047 LCC983046:LCC983047 LLY983046:LLY983047 LVU983046:LVU983047 MFQ983046:MFQ983047 MPM983046:MPM983047 MZI983046:MZI983047 NJE983046:NJE983047 NTA983046:NTA983047 OCW983046:OCW983047 OMS983046:OMS983047 OWO983046:OWO983047 PGK983046:PGK983047 PQG983046:PQG983047 QAC983046:QAC983047 QJY983046:QJY983047 QTU983046:QTU983047 RDQ983046:RDQ983047 RNM983046:RNM983047 RXI983046:RXI983047 SHE983046:SHE983047 SRA983046:SRA983047 TAW983046:TAW983047 TKS983046:TKS983047 TUO983046:TUO983047 UEK983046:UEK983047 UOG983046:UOG983047 UYC983046:UYC983047 VHY983046:VHY983047 VRU983046:VRU983047 WBQ983046:WBQ983047 WLM983046:WLM983047 WVI983046:WVI983047 D13:F13 IW13:IY13 SS13:SU13 ACO13:ACQ13 AMK13:AMM13 AWG13:AWI13 BGC13:BGE13 BPY13:BQA13 BZU13:BZW13 CJQ13:CJS13 CTM13:CTO13 DDI13:DDK13 DNE13:DNG13 DXA13:DXC13 EGW13:EGY13 EQS13:EQU13 FAO13:FAQ13 FKK13:FKM13 FUG13:FUI13 GEC13:GEE13 GNY13:GOA13 GXU13:GXW13 HHQ13:HHS13 HRM13:HRO13 IBI13:IBK13 ILE13:ILG13 IVA13:IVC13 JEW13:JEY13 JOS13:JOU13 JYO13:JYQ13 KIK13:KIM13 KSG13:KSI13 LCC13:LCE13 LLY13:LMA13 LVU13:LVW13 MFQ13:MFS13 MPM13:MPO13 MZI13:MZK13 NJE13:NJG13 NTA13:NTC13 OCW13:OCY13 OMS13:OMU13 OWO13:OWQ13 PGK13:PGM13 PQG13:PQI13 QAC13:QAE13 QJY13:QKA13 QTU13:QTW13 RDQ13:RDS13 RNM13:RNO13 RXI13:RXK13 SHE13:SHG13 SRA13:SRC13 TAW13:TAY13 TKS13:TKU13 TUO13:TUQ13 UEK13:UEM13 UOG13:UOI13 UYC13:UYE13 VHY13:VIA13 VRU13:VRW13 WBQ13:WBS13 WLM13:WLO13 WVI13:WVK13 D65545:F65545 IW65545:IY65545 SS65545:SU65545 ACO65545:ACQ65545 AMK65545:AMM65545 AWG65545:AWI65545 BGC65545:BGE65545 BPY65545:BQA65545 BZU65545:BZW65545 CJQ65545:CJS65545 CTM65545:CTO65545 DDI65545:DDK65545 DNE65545:DNG65545 DXA65545:DXC65545 EGW65545:EGY65545 EQS65545:EQU65545 FAO65545:FAQ65545 FKK65545:FKM65545 FUG65545:FUI65545 GEC65545:GEE65545 GNY65545:GOA65545 GXU65545:GXW65545 HHQ65545:HHS65545 HRM65545:HRO65545 IBI65545:IBK65545 ILE65545:ILG65545 IVA65545:IVC65545 JEW65545:JEY65545 JOS65545:JOU65545 JYO65545:JYQ65545 KIK65545:KIM65545 KSG65545:KSI65545 LCC65545:LCE65545 LLY65545:LMA65545 LVU65545:LVW65545 MFQ65545:MFS65545 MPM65545:MPO65545 MZI65545:MZK65545 NJE65545:NJG65545 NTA65545:NTC65545 OCW65545:OCY65545 OMS65545:OMU65545 OWO65545:OWQ65545 PGK65545:PGM65545 PQG65545:PQI65545 QAC65545:QAE65545 QJY65545:QKA65545 QTU65545:QTW65545 RDQ65545:RDS65545 RNM65545:RNO65545 RXI65545:RXK65545 SHE65545:SHG65545 SRA65545:SRC65545 TAW65545:TAY65545 TKS65545:TKU65545 TUO65545:TUQ65545 UEK65545:UEM65545 UOG65545:UOI65545 UYC65545:UYE65545 VHY65545:VIA65545 VRU65545:VRW65545 WBQ65545:WBS65545 WLM65545:WLO65545 WVI65545:WVK65545 D131081:F131081 IW131081:IY131081 SS131081:SU131081 ACO131081:ACQ131081 AMK131081:AMM131081 AWG131081:AWI131081 BGC131081:BGE131081 BPY131081:BQA131081 BZU131081:BZW131081 CJQ131081:CJS131081 CTM131081:CTO131081 DDI131081:DDK131081 DNE131081:DNG131081 DXA131081:DXC131081 EGW131081:EGY131081 EQS131081:EQU131081 FAO131081:FAQ131081 FKK131081:FKM131081 FUG131081:FUI131081 GEC131081:GEE131081 GNY131081:GOA131081 GXU131081:GXW131081 HHQ131081:HHS131081 HRM131081:HRO131081 IBI131081:IBK131081 ILE131081:ILG131081 IVA131081:IVC131081 JEW131081:JEY131081 JOS131081:JOU131081 JYO131081:JYQ131081 KIK131081:KIM131081 KSG131081:KSI131081 LCC131081:LCE131081 LLY131081:LMA131081 LVU131081:LVW131081 MFQ131081:MFS131081 MPM131081:MPO131081 MZI131081:MZK131081 NJE131081:NJG131081 NTA131081:NTC131081 OCW131081:OCY131081 OMS131081:OMU131081 OWO131081:OWQ131081 PGK131081:PGM131081 PQG131081:PQI131081 QAC131081:QAE131081 QJY131081:QKA131081 QTU131081:QTW131081 RDQ131081:RDS131081 RNM131081:RNO131081 RXI131081:RXK131081 SHE131081:SHG131081 SRA131081:SRC131081 TAW131081:TAY131081 TKS131081:TKU131081 TUO131081:TUQ131081 UEK131081:UEM131081 UOG131081:UOI131081 UYC131081:UYE131081 VHY131081:VIA131081 VRU131081:VRW131081 WBQ131081:WBS131081 WLM131081:WLO131081 WVI131081:WVK131081 D196617:F196617 IW196617:IY196617 SS196617:SU196617 ACO196617:ACQ196617 AMK196617:AMM196617 AWG196617:AWI196617 BGC196617:BGE196617 BPY196617:BQA196617 BZU196617:BZW196617 CJQ196617:CJS196617 CTM196617:CTO196617 DDI196617:DDK196617 DNE196617:DNG196617 DXA196617:DXC196617 EGW196617:EGY196617 EQS196617:EQU196617 FAO196617:FAQ196617 FKK196617:FKM196617 FUG196617:FUI196617 GEC196617:GEE196617 GNY196617:GOA196617 GXU196617:GXW196617 HHQ196617:HHS196617 HRM196617:HRO196617 IBI196617:IBK196617 ILE196617:ILG196617 IVA196617:IVC196617 JEW196617:JEY196617 JOS196617:JOU196617 JYO196617:JYQ196617 KIK196617:KIM196617 KSG196617:KSI196617 LCC196617:LCE196617 LLY196617:LMA196617 LVU196617:LVW196617 MFQ196617:MFS196617 MPM196617:MPO196617 MZI196617:MZK196617 NJE196617:NJG196617 NTA196617:NTC196617 OCW196617:OCY196617 OMS196617:OMU196617 OWO196617:OWQ196617 PGK196617:PGM196617 PQG196617:PQI196617 QAC196617:QAE196617 QJY196617:QKA196617 QTU196617:QTW196617 RDQ196617:RDS196617 RNM196617:RNO196617 RXI196617:RXK196617 SHE196617:SHG196617 SRA196617:SRC196617 TAW196617:TAY196617 TKS196617:TKU196617 TUO196617:TUQ196617 UEK196617:UEM196617 UOG196617:UOI196617 UYC196617:UYE196617 VHY196617:VIA196617 VRU196617:VRW196617 WBQ196617:WBS196617 WLM196617:WLO196617 WVI196617:WVK196617 D262153:F262153 IW262153:IY262153 SS262153:SU262153 ACO262153:ACQ262153 AMK262153:AMM262153 AWG262153:AWI262153 BGC262153:BGE262153 BPY262153:BQA262153 BZU262153:BZW262153 CJQ262153:CJS262153 CTM262153:CTO262153 DDI262153:DDK262153 DNE262153:DNG262153 DXA262153:DXC262153 EGW262153:EGY262153 EQS262153:EQU262153 FAO262153:FAQ262153 FKK262153:FKM262153 FUG262153:FUI262153 GEC262153:GEE262153 GNY262153:GOA262153 GXU262153:GXW262153 HHQ262153:HHS262153 HRM262153:HRO262153 IBI262153:IBK262153 ILE262153:ILG262153 IVA262153:IVC262153 JEW262153:JEY262153 JOS262153:JOU262153 JYO262153:JYQ262153 KIK262153:KIM262153 KSG262153:KSI262153 LCC262153:LCE262153 LLY262153:LMA262153 LVU262153:LVW262153 MFQ262153:MFS262153 MPM262153:MPO262153 MZI262153:MZK262153 NJE262153:NJG262153 NTA262153:NTC262153 OCW262153:OCY262153 OMS262153:OMU262153 OWO262153:OWQ262153 PGK262153:PGM262153 PQG262153:PQI262153 QAC262153:QAE262153 QJY262153:QKA262153 QTU262153:QTW262153 RDQ262153:RDS262153 RNM262153:RNO262153 RXI262153:RXK262153 SHE262153:SHG262153 SRA262153:SRC262153 TAW262153:TAY262153 TKS262153:TKU262153 TUO262153:TUQ262153 UEK262153:UEM262153 UOG262153:UOI262153 UYC262153:UYE262153 VHY262153:VIA262153 VRU262153:VRW262153 WBQ262153:WBS262153 WLM262153:WLO262153 WVI262153:WVK262153 D327689:F327689 IW327689:IY327689 SS327689:SU327689 ACO327689:ACQ327689 AMK327689:AMM327689 AWG327689:AWI327689 BGC327689:BGE327689 BPY327689:BQA327689 BZU327689:BZW327689 CJQ327689:CJS327689 CTM327689:CTO327689 DDI327689:DDK327689 DNE327689:DNG327689 DXA327689:DXC327689 EGW327689:EGY327689 EQS327689:EQU327689 FAO327689:FAQ327689 FKK327689:FKM327689 FUG327689:FUI327689 GEC327689:GEE327689 GNY327689:GOA327689 GXU327689:GXW327689 HHQ327689:HHS327689 HRM327689:HRO327689 IBI327689:IBK327689 ILE327689:ILG327689 IVA327689:IVC327689 JEW327689:JEY327689 JOS327689:JOU327689 JYO327689:JYQ327689 KIK327689:KIM327689 KSG327689:KSI327689 LCC327689:LCE327689 LLY327689:LMA327689 LVU327689:LVW327689 MFQ327689:MFS327689 MPM327689:MPO327689 MZI327689:MZK327689 NJE327689:NJG327689 NTA327689:NTC327689 OCW327689:OCY327689 OMS327689:OMU327689 OWO327689:OWQ327689 PGK327689:PGM327689 PQG327689:PQI327689 QAC327689:QAE327689 QJY327689:QKA327689 QTU327689:QTW327689 RDQ327689:RDS327689 RNM327689:RNO327689 RXI327689:RXK327689 SHE327689:SHG327689 SRA327689:SRC327689 TAW327689:TAY327689 TKS327689:TKU327689 TUO327689:TUQ327689 UEK327689:UEM327689 UOG327689:UOI327689 UYC327689:UYE327689 VHY327689:VIA327689 VRU327689:VRW327689 WBQ327689:WBS327689 WLM327689:WLO327689 WVI327689:WVK327689 D393225:F393225 IW393225:IY393225 SS393225:SU393225 ACO393225:ACQ393225 AMK393225:AMM393225 AWG393225:AWI393225 BGC393225:BGE393225 BPY393225:BQA393225 BZU393225:BZW393225 CJQ393225:CJS393225 CTM393225:CTO393225 DDI393225:DDK393225 DNE393225:DNG393225 DXA393225:DXC393225 EGW393225:EGY393225 EQS393225:EQU393225 FAO393225:FAQ393225 FKK393225:FKM393225 FUG393225:FUI393225 GEC393225:GEE393225 GNY393225:GOA393225 GXU393225:GXW393225 HHQ393225:HHS393225 HRM393225:HRO393225 IBI393225:IBK393225 ILE393225:ILG393225 IVA393225:IVC393225 JEW393225:JEY393225 JOS393225:JOU393225 JYO393225:JYQ393225 KIK393225:KIM393225 KSG393225:KSI393225 LCC393225:LCE393225 LLY393225:LMA393225 LVU393225:LVW393225 MFQ393225:MFS393225 MPM393225:MPO393225 MZI393225:MZK393225 NJE393225:NJG393225 NTA393225:NTC393225 OCW393225:OCY393225 OMS393225:OMU393225 OWO393225:OWQ393225 PGK393225:PGM393225 PQG393225:PQI393225 QAC393225:QAE393225 QJY393225:QKA393225 QTU393225:QTW393225 RDQ393225:RDS393225 RNM393225:RNO393225 RXI393225:RXK393225 SHE393225:SHG393225 SRA393225:SRC393225 TAW393225:TAY393225 TKS393225:TKU393225 TUO393225:TUQ393225 UEK393225:UEM393225 UOG393225:UOI393225 UYC393225:UYE393225 VHY393225:VIA393225 VRU393225:VRW393225 WBQ393225:WBS393225 WLM393225:WLO393225 WVI393225:WVK393225 D458761:F458761 IW458761:IY458761 SS458761:SU458761 ACO458761:ACQ458761 AMK458761:AMM458761 AWG458761:AWI458761 BGC458761:BGE458761 BPY458761:BQA458761 BZU458761:BZW458761 CJQ458761:CJS458761 CTM458761:CTO458761 DDI458761:DDK458761 DNE458761:DNG458761 DXA458761:DXC458761 EGW458761:EGY458761 EQS458761:EQU458761 FAO458761:FAQ458761 FKK458761:FKM458761 FUG458761:FUI458761 GEC458761:GEE458761 GNY458761:GOA458761 GXU458761:GXW458761 HHQ458761:HHS458761 HRM458761:HRO458761 IBI458761:IBK458761 ILE458761:ILG458761 IVA458761:IVC458761 JEW458761:JEY458761 JOS458761:JOU458761 JYO458761:JYQ458761 KIK458761:KIM458761 KSG458761:KSI458761 LCC458761:LCE458761 LLY458761:LMA458761 LVU458761:LVW458761 MFQ458761:MFS458761 MPM458761:MPO458761 MZI458761:MZK458761 NJE458761:NJG458761 NTA458761:NTC458761 OCW458761:OCY458761 OMS458761:OMU458761 OWO458761:OWQ458761 PGK458761:PGM458761 PQG458761:PQI458761 QAC458761:QAE458761 QJY458761:QKA458761 QTU458761:QTW458761 RDQ458761:RDS458761 RNM458761:RNO458761 RXI458761:RXK458761 SHE458761:SHG458761 SRA458761:SRC458761 TAW458761:TAY458761 TKS458761:TKU458761 TUO458761:TUQ458761 UEK458761:UEM458761 UOG458761:UOI458761 UYC458761:UYE458761 VHY458761:VIA458761 VRU458761:VRW458761 WBQ458761:WBS458761 WLM458761:WLO458761 WVI458761:WVK458761 D524297:F524297 IW524297:IY524297 SS524297:SU524297 ACO524297:ACQ524297 AMK524297:AMM524297 AWG524297:AWI524297 BGC524297:BGE524297 BPY524297:BQA524297 BZU524297:BZW524297 CJQ524297:CJS524297 CTM524297:CTO524297 DDI524297:DDK524297 DNE524297:DNG524297 DXA524297:DXC524297 EGW524297:EGY524297 EQS524297:EQU524297 FAO524297:FAQ524297 FKK524297:FKM524297 FUG524297:FUI524297 GEC524297:GEE524297 GNY524297:GOA524297 GXU524297:GXW524297 HHQ524297:HHS524297 HRM524297:HRO524297 IBI524297:IBK524297 ILE524297:ILG524297 IVA524297:IVC524297 JEW524297:JEY524297 JOS524297:JOU524297 JYO524297:JYQ524297 KIK524297:KIM524297 KSG524297:KSI524297 LCC524297:LCE524297 LLY524297:LMA524297 LVU524297:LVW524297 MFQ524297:MFS524297 MPM524297:MPO524297 MZI524297:MZK524297 NJE524297:NJG524297 NTA524297:NTC524297 OCW524297:OCY524297 OMS524297:OMU524297 OWO524297:OWQ524297 PGK524297:PGM524297 PQG524297:PQI524297 QAC524297:QAE524297 QJY524297:QKA524297 QTU524297:QTW524297 RDQ524297:RDS524297 RNM524297:RNO524297 RXI524297:RXK524297 SHE524297:SHG524297 SRA524297:SRC524297 TAW524297:TAY524297 TKS524297:TKU524297 TUO524297:TUQ524297 UEK524297:UEM524297 UOG524297:UOI524297 UYC524297:UYE524297 VHY524297:VIA524297 VRU524297:VRW524297 WBQ524297:WBS524297 WLM524297:WLO524297 WVI524297:WVK524297 D589833:F589833 IW589833:IY589833 SS589833:SU589833 ACO589833:ACQ589833 AMK589833:AMM589833 AWG589833:AWI589833 BGC589833:BGE589833 BPY589833:BQA589833 BZU589833:BZW589833 CJQ589833:CJS589833 CTM589833:CTO589833 DDI589833:DDK589833 DNE589833:DNG589833 DXA589833:DXC589833 EGW589833:EGY589833 EQS589833:EQU589833 FAO589833:FAQ589833 FKK589833:FKM589833 FUG589833:FUI589833 GEC589833:GEE589833 GNY589833:GOA589833 GXU589833:GXW589833 HHQ589833:HHS589833 HRM589833:HRO589833 IBI589833:IBK589833 ILE589833:ILG589833 IVA589833:IVC589833 JEW589833:JEY589833 JOS589833:JOU589833 JYO589833:JYQ589833 KIK589833:KIM589833 KSG589833:KSI589833 LCC589833:LCE589833 LLY589833:LMA589833 LVU589833:LVW589833 MFQ589833:MFS589833 MPM589833:MPO589833 MZI589833:MZK589833 NJE589833:NJG589833 NTA589833:NTC589833 OCW589833:OCY589833 OMS589833:OMU589833 OWO589833:OWQ589833 PGK589833:PGM589833 PQG589833:PQI589833 QAC589833:QAE589833 QJY589833:QKA589833 QTU589833:QTW589833 RDQ589833:RDS589833 RNM589833:RNO589833 RXI589833:RXK589833 SHE589833:SHG589833 SRA589833:SRC589833 TAW589833:TAY589833 TKS589833:TKU589833 TUO589833:TUQ589833 UEK589833:UEM589833 UOG589833:UOI589833 UYC589833:UYE589833 VHY589833:VIA589833 VRU589833:VRW589833 WBQ589833:WBS589833 WLM589833:WLO589833 WVI589833:WVK589833 D655369:F655369 IW655369:IY655369 SS655369:SU655369 ACO655369:ACQ655369 AMK655369:AMM655369 AWG655369:AWI655369 BGC655369:BGE655369 BPY655369:BQA655369 BZU655369:BZW655369 CJQ655369:CJS655369 CTM655369:CTO655369 DDI655369:DDK655369 DNE655369:DNG655369 DXA655369:DXC655369 EGW655369:EGY655369 EQS655369:EQU655369 FAO655369:FAQ655369 FKK655369:FKM655369 FUG655369:FUI655369 GEC655369:GEE655369 GNY655369:GOA655369 GXU655369:GXW655369 HHQ655369:HHS655369 HRM655369:HRO655369 IBI655369:IBK655369 ILE655369:ILG655369 IVA655369:IVC655369 JEW655369:JEY655369 JOS655369:JOU655369 JYO655369:JYQ655369 KIK655369:KIM655369 KSG655369:KSI655369 LCC655369:LCE655369 LLY655369:LMA655369 LVU655369:LVW655369 MFQ655369:MFS655369 MPM655369:MPO655369 MZI655369:MZK655369 NJE655369:NJG655369 NTA655369:NTC655369 OCW655369:OCY655369 OMS655369:OMU655369 OWO655369:OWQ655369 PGK655369:PGM655369 PQG655369:PQI655369 QAC655369:QAE655369 QJY655369:QKA655369 QTU655369:QTW655369 RDQ655369:RDS655369 RNM655369:RNO655369 RXI655369:RXK655369 SHE655369:SHG655369 SRA655369:SRC655369 TAW655369:TAY655369 TKS655369:TKU655369 TUO655369:TUQ655369 UEK655369:UEM655369 UOG655369:UOI655369 UYC655369:UYE655369 VHY655369:VIA655369 VRU655369:VRW655369 WBQ655369:WBS655369 WLM655369:WLO655369 WVI655369:WVK655369 D720905:F720905 IW720905:IY720905 SS720905:SU720905 ACO720905:ACQ720905 AMK720905:AMM720905 AWG720905:AWI720905 BGC720905:BGE720905 BPY720905:BQA720905 BZU720905:BZW720905 CJQ720905:CJS720905 CTM720905:CTO720905 DDI720905:DDK720905 DNE720905:DNG720905 DXA720905:DXC720905 EGW720905:EGY720905 EQS720905:EQU720905 FAO720905:FAQ720905 FKK720905:FKM720905 FUG720905:FUI720905 GEC720905:GEE720905 GNY720905:GOA720905 GXU720905:GXW720905 HHQ720905:HHS720905 HRM720905:HRO720905 IBI720905:IBK720905 ILE720905:ILG720905 IVA720905:IVC720905 JEW720905:JEY720905 JOS720905:JOU720905 JYO720905:JYQ720905 KIK720905:KIM720905 KSG720905:KSI720905 LCC720905:LCE720905 LLY720905:LMA720905 LVU720905:LVW720905 MFQ720905:MFS720905 MPM720905:MPO720905 MZI720905:MZK720905 NJE720905:NJG720905 NTA720905:NTC720905 OCW720905:OCY720905 OMS720905:OMU720905 OWO720905:OWQ720905 PGK720905:PGM720905 PQG720905:PQI720905 QAC720905:QAE720905 QJY720905:QKA720905 QTU720905:QTW720905 RDQ720905:RDS720905 RNM720905:RNO720905 RXI720905:RXK720905 SHE720905:SHG720905 SRA720905:SRC720905 TAW720905:TAY720905 TKS720905:TKU720905 TUO720905:TUQ720905 UEK720905:UEM720905 UOG720905:UOI720905 UYC720905:UYE720905 VHY720905:VIA720905 VRU720905:VRW720905 WBQ720905:WBS720905 WLM720905:WLO720905 WVI720905:WVK720905 D786441:F786441 IW786441:IY786441 SS786441:SU786441 ACO786441:ACQ786441 AMK786441:AMM786441 AWG786441:AWI786441 BGC786441:BGE786441 BPY786441:BQA786441 BZU786441:BZW786441 CJQ786441:CJS786441 CTM786441:CTO786441 DDI786441:DDK786441 DNE786441:DNG786441 DXA786441:DXC786441 EGW786441:EGY786441 EQS786441:EQU786441 FAO786441:FAQ786441 FKK786441:FKM786441 FUG786441:FUI786441 GEC786441:GEE786441 GNY786441:GOA786441 GXU786441:GXW786441 HHQ786441:HHS786441 HRM786441:HRO786441 IBI786441:IBK786441 ILE786441:ILG786441 IVA786441:IVC786441 JEW786441:JEY786441 JOS786441:JOU786441 JYO786441:JYQ786441 KIK786441:KIM786441 KSG786441:KSI786441 LCC786441:LCE786441 LLY786441:LMA786441 LVU786441:LVW786441 MFQ786441:MFS786441 MPM786441:MPO786441 MZI786441:MZK786441 NJE786441:NJG786441 NTA786441:NTC786441 OCW786441:OCY786441 OMS786441:OMU786441 OWO786441:OWQ786441 PGK786441:PGM786441 PQG786441:PQI786441 QAC786441:QAE786441 QJY786441:QKA786441 QTU786441:QTW786441 RDQ786441:RDS786441 RNM786441:RNO786441 RXI786441:RXK786441 SHE786441:SHG786441 SRA786441:SRC786441 TAW786441:TAY786441 TKS786441:TKU786441 TUO786441:TUQ786441 UEK786441:UEM786441 UOG786441:UOI786441 UYC786441:UYE786441 VHY786441:VIA786441 VRU786441:VRW786441 WBQ786441:WBS786441 WLM786441:WLO786441 WVI786441:WVK786441 D851977:F851977 IW851977:IY851977 SS851977:SU851977 ACO851977:ACQ851977 AMK851977:AMM851977 AWG851977:AWI851977 BGC851977:BGE851977 BPY851977:BQA851977 BZU851977:BZW851977 CJQ851977:CJS851977 CTM851977:CTO851977 DDI851977:DDK851977 DNE851977:DNG851977 DXA851977:DXC851977 EGW851977:EGY851977 EQS851977:EQU851977 FAO851977:FAQ851977 FKK851977:FKM851977 FUG851977:FUI851977 GEC851977:GEE851977 GNY851977:GOA851977 GXU851977:GXW851977 HHQ851977:HHS851977 HRM851977:HRO851977 IBI851977:IBK851977 ILE851977:ILG851977 IVA851977:IVC851977 JEW851977:JEY851977 JOS851977:JOU851977 JYO851977:JYQ851977 KIK851977:KIM851977 KSG851977:KSI851977 LCC851977:LCE851977 LLY851977:LMA851977 LVU851977:LVW851977 MFQ851977:MFS851977 MPM851977:MPO851977 MZI851977:MZK851977 NJE851977:NJG851977 NTA851977:NTC851977 OCW851977:OCY851977 OMS851977:OMU851977 OWO851977:OWQ851977 PGK851977:PGM851977 PQG851977:PQI851977 QAC851977:QAE851977 QJY851977:QKA851977 QTU851977:QTW851977 RDQ851977:RDS851977 RNM851977:RNO851977 RXI851977:RXK851977 SHE851977:SHG851977 SRA851977:SRC851977 TAW851977:TAY851977 TKS851977:TKU851977 TUO851977:TUQ851977 UEK851977:UEM851977 UOG851977:UOI851977 UYC851977:UYE851977 VHY851977:VIA851977 VRU851977:VRW851977 WBQ851977:WBS851977 WLM851977:WLO851977 WVI851977:WVK851977 D917513:F917513 IW917513:IY917513 SS917513:SU917513 ACO917513:ACQ917513 AMK917513:AMM917513 AWG917513:AWI917513 BGC917513:BGE917513 BPY917513:BQA917513 BZU917513:BZW917513 CJQ917513:CJS917513 CTM917513:CTO917513 DDI917513:DDK917513 DNE917513:DNG917513 DXA917513:DXC917513 EGW917513:EGY917513 EQS917513:EQU917513 FAO917513:FAQ917513 FKK917513:FKM917513 FUG917513:FUI917513 GEC917513:GEE917513 GNY917513:GOA917513 GXU917513:GXW917513 HHQ917513:HHS917513 HRM917513:HRO917513 IBI917513:IBK917513 ILE917513:ILG917513 IVA917513:IVC917513 JEW917513:JEY917513 JOS917513:JOU917513 JYO917513:JYQ917513 KIK917513:KIM917513 KSG917513:KSI917513 LCC917513:LCE917513 LLY917513:LMA917513 LVU917513:LVW917513 MFQ917513:MFS917513 MPM917513:MPO917513 MZI917513:MZK917513 NJE917513:NJG917513 NTA917513:NTC917513 OCW917513:OCY917513 OMS917513:OMU917513 OWO917513:OWQ917513 PGK917513:PGM917513 PQG917513:PQI917513 QAC917513:QAE917513 QJY917513:QKA917513 QTU917513:QTW917513 RDQ917513:RDS917513 RNM917513:RNO917513 RXI917513:RXK917513 SHE917513:SHG917513 SRA917513:SRC917513 TAW917513:TAY917513 TKS917513:TKU917513 TUO917513:TUQ917513 UEK917513:UEM917513 UOG917513:UOI917513 UYC917513:UYE917513 VHY917513:VIA917513 VRU917513:VRW917513 WBQ917513:WBS917513 WLM917513:WLO917513 WVI917513:WVK917513 D983049:F983049 IW983049:IY983049 SS983049:SU983049 ACO983049:ACQ983049 AMK983049:AMM983049 AWG983049:AWI983049 BGC983049:BGE983049 BPY983049:BQA983049 BZU983049:BZW983049 CJQ983049:CJS983049 CTM983049:CTO983049 DDI983049:DDK983049 DNE983049:DNG983049 DXA983049:DXC983049 EGW983049:EGY983049 EQS983049:EQU983049 FAO983049:FAQ983049 FKK983049:FKM983049 FUG983049:FUI983049 GEC983049:GEE983049 GNY983049:GOA983049 GXU983049:GXW983049 HHQ983049:HHS983049 HRM983049:HRO983049 IBI983049:IBK983049 ILE983049:ILG983049 IVA983049:IVC983049 JEW983049:JEY983049 JOS983049:JOU983049 JYO983049:JYQ983049 KIK983049:KIM983049 KSG983049:KSI983049 LCC983049:LCE983049 LLY983049:LMA983049 LVU983049:LVW983049 MFQ983049:MFS983049 MPM983049:MPO983049 MZI983049:MZK983049 NJE983049:NJG983049 NTA983049:NTC983049 OCW983049:OCY983049 OMS983049:OMU983049 OWO983049:OWQ983049 PGK983049:PGM983049 PQG983049:PQI983049 QAC983049:QAE983049 QJY983049:QKA983049 QTU983049:QTW983049 RDQ983049:RDS983049 RNM983049:RNO983049 RXI983049:RXK983049 SHE983049:SHG983049 SRA983049:SRC983049 TAW983049:TAY983049 TKS983049:TKU983049 TUO983049:TUQ983049 UEK983049:UEM983049 UOG983049:UOI983049 UYC983049:UYE983049 VHY983049:VIA983049 VRU983049:VRW983049 WBQ983049:WBS983049 WLM983049:WLO983049 WVI983049:WVK983049 F8 IW16:IY44 SS16:SU44 ACO16:ACQ44 AMK16:AMM44 AWG16:AWI44 BGC16:BGE44 BPY16:BQA44 BZU16:BZW44 CJQ16:CJS44 CTM16:CTO44 DDI16:DDK44 DNE16:DNG44 DXA16:DXC44 EGW16:EGY44 EQS16:EQU44 FAO16:FAQ44 FKK16:FKM44 FUG16:FUI44 GEC16:GEE44 GNY16:GOA44 GXU16:GXW44 HHQ16:HHS44 HRM16:HRO44 IBI16:IBK44 ILE16:ILG44 IVA16:IVC44 JEW16:JEY44 JOS16:JOU44 JYO16:JYQ44 KIK16:KIM44 KSG16:KSI44 LCC16:LCE44 LLY16:LMA44 LVU16:LVW44 MFQ16:MFS44 MPM16:MPO44 MZI16:MZK44 NJE16:NJG44 NTA16:NTC44 OCW16:OCY44 OMS16:OMU44 OWO16:OWQ44 PGK16:PGM44 PQG16:PQI44 QAC16:QAE44 QJY16:QKA44 QTU16:QTW44 RDQ16:RDS44 RNM16:RNO44 RXI16:RXK44 SHE16:SHG44 SRA16:SRC44 TAW16:TAY44 TKS16:TKU44 TUO16:TUQ44 UEK16:UEM44 UOG16:UOI44 UYC16:UYE44 VHY16:VIA44 VRU16:VRW44 WBQ16:WBS44 WLM16:WLO44 WVI16:WVK44 D65548:F65576 IW65548:IY65576 SS65548:SU65576 ACO65548:ACQ65576 AMK65548:AMM65576 AWG65548:AWI65576 BGC65548:BGE65576 BPY65548:BQA65576 BZU65548:BZW65576 CJQ65548:CJS65576 CTM65548:CTO65576 DDI65548:DDK65576 DNE65548:DNG65576 DXA65548:DXC65576 EGW65548:EGY65576 EQS65548:EQU65576 FAO65548:FAQ65576 FKK65548:FKM65576 FUG65548:FUI65576 GEC65548:GEE65576 GNY65548:GOA65576 GXU65548:GXW65576 HHQ65548:HHS65576 HRM65548:HRO65576 IBI65548:IBK65576 ILE65548:ILG65576 IVA65548:IVC65576 JEW65548:JEY65576 JOS65548:JOU65576 JYO65548:JYQ65576 KIK65548:KIM65576 KSG65548:KSI65576 LCC65548:LCE65576 LLY65548:LMA65576 LVU65548:LVW65576 MFQ65548:MFS65576 MPM65548:MPO65576 MZI65548:MZK65576 NJE65548:NJG65576 NTA65548:NTC65576 OCW65548:OCY65576 OMS65548:OMU65576 OWO65548:OWQ65576 PGK65548:PGM65576 PQG65548:PQI65576 QAC65548:QAE65576 QJY65548:QKA65576 QTU65548:QTW65576 RDQ65548:RDS65576 RNM65548:RNO65576 RXI65548:RXK65576 SHE65548:SHG65576 SRA65548:SRC65576 TAW65548:TAY65576 TKS65548:TKU65576 TUO65548:TUQ65576 UEK65548:UEM65576 UOG65548:UOI65576 UYC65548:UYE65576 VHY65548:VIA65576 VRU65548:VRW65576 WBQ65548:WBS65576 WLM65548:WLO65576 WVI65548:WVK65576 D131084:F131112 IW131084:IY131112 SS131084:SU131112 ACO131084:ACQ131112 AMK131084:AMM131112 AWG131084:AWI131112 BGC131084:BGE131112 BPY131084:BQA131112 BZU131084:BZW131112 CJQ131084:CJS131112 CTM131084:CTO131112 DDI131084:DDK131112 DNE131084:DNG131112 DXA131084:DXC131112 EGW131084:EGY131112 EQS131084:EQU131112 FAO131084:FAQ131112 FKK131084:FKM131112 FUG131084:FUI131112 GEC131084:GEE131112 GNY131084:GOA131112 GXU131084:GXW131112 HHQ131084:HHS131112 HRM131084:HRO131112 IBI131084:IBK131112 ILE131084:ILG131112 IVA131084:IVC131112 JEW131084:JEY131112 JOS131084:JOU131112 JYO131084:JYQ131112 KIK131084:KIM131112 KSG131084:KSI131112 LCC131084:LCE131112 LLY131084:LMA131112 LVU131084:LVW131112 MFQ131084:MFS131112 MPM131084:MPO131112 MZI131084:MZK131112 NJE131084:NJG131112 NTA131084:NTC131112 OCW131084:OCY131112 OMS131084:OMU131112 OWO131084:OWQ131112 PGK131084:PGM131112 PQG131084:PQI131112 QAC131084:QAE131112 QJY131084:QKA131112 QTU131084:QTW131112 RDQ131084:RDS131112 RNM131084:RNO131112 RXI131084:RXK131112 SHE131084:SHG131112 SRA131084:SRC131112 TAW131084:TAY131112 TKS131084:TKU131112 TUO131084:TUQ131112 UEK131084:UEM131112 UOG131084:UOI131112 UYC131084:UYE131112 VHY131084:VIA131112 VRU131084:VRW131112 WBQ131084:WBS131112 WLM131084:WLO131112 WVI131084:WVK131112 D196620:F196648 IW196620:IY196648 SS196620:SU196648 ACO196620:ACQ196648 AMK196620:AMM196648 AWG196620:AWI196648 BGC196620:BGE196648 BPY196620:BQA196648 BZU196620:BZW196648 CJQ196620:CJS196648 CTM196620:CTO196648 DDI196620:DDK196648 DNE196620:DNG196648 DXA196620:DXC196648 EGW196620:EGY196648 EQS196620:EQU196648 FAO196620:FAQ196648 FKK196620:FKM196648 FUG196620:FUI196648 GEC196620:GEE196648 GNY196620:GOA196648 GXU196620:GXW196648 HHQ196620:HHS196648 HRM196620:HRO196648 IBI196620:IBK196648 ILE196620:ILG196648 IVA196620:IVC196648 JEW196620:JEY196648 JOS196620:JOU196648 JYO196620:JYQ196648 KIK196620:KIM196648 KSG196620:KSI196648 LCC196620:LCE196648 LLY196620:LMA196648 LVU196620:LVW196648 MFQ196620:MFS196648 MPM196620:MPO196648 MZI196620:MZK196648 NJE196620:NJG196648 NTA196620:NTC196648 OCW196620:OCY196648 OMS196620:OMU196648 OWO196620:OWQ196648 PGK196620:PGM196648 PQG196620:PQI196648 QAC196620:QAE196648 QJY196620:QKA196648 QTU196620:QTW196648 RDQ196620:RDS196648 RNM196620:RNO196648 RXI196620:RXK196648 SHE196620:SHG196648 SRA196620:SRC196648 TAW196620:TAY196648 TKS196620:TKU196648 TUO196620:TUQ196648 UEK196620:UEM196648 UOG196620:UOI196648 UYC196620:UYE196648 VHY196620:VIA196648 VRU196620:VRW196648 WBQ196620:WBS196648 WLM196620:WLO196648 WVI196620:WVK196648 D262156:F262184 IW262156:IY262184 SS262156:SU262184 ACO262156:ACQ262184 AMK262156:AMM262184 AWG262156:AWI262184 BGC262156:BGE262184 BPY262156:BQA262184 BZU262156:BZW262184 CJQ262156:CJS262184 CTM262156:CTO262184 DDI262156:DDK262184 DNE262156:DNG262184 DXA262156:DXC262184 EGW262156:EGY262184 EQS262156:EQU262184 FAO262156:FAQ262184 FKK262156:FKM262184 FUG262156:FUI262184 GEC262156:GEE262184 GNY262156:GOA262184 GXU262156:GXW262184 HHQ262156:HHS262184 HRM262156:HRO262184 IBI262156:IBK262184 ILE262156:ILG262184 IVA262156:IVC262184 JEW262156:JEY262184 JOS262156:JOU262184 JYO262156:JYQ262184 KIK262156:KIM262184 KSG262156:KSI262184 LCC262156:LCE262184 LLY262156:LMA262184 LVU262156:LVW262184 MFQ262156:MFS262184 MPM262156:MPO262184 MZI262156:MZK262184 NJE262156:NJG262184 NTA262156:NTC262184 OCW262156:OCY262184 OMS262156:OMU262184 OWO262156:OWQ262184 PGK262156:PGM262184 PQG262156:PQI262184 QAC262156:QAE262184 QJY262156:QKA262184 QTU262156:QTW262184 RDQ262156:RDS262184 RNM262156:RNO262184 RXI262156:RXK262184 SHE262156:SHG262184 SRA262156:SRC262184 TAW262156:TAY262184 TKS262156:TKU262184 TUO262156:TUQ262184 UEK262156:UEM262184 UOG262156:UOI262184 UYC262156:UYE262184 VHY262156:VIA262184 VRU262156:VRW262184 WBQ262156:WBS262184 WLM262156:WLO262184 WVI262156:WVK262184 D327692:F327720 IW327692:IY327720 SS327692:SU327720 ACO327692:ACQ327720 AMK327692:AMM327720 AWG327692:AWI327720 BGC327692:BGE327720 BPY327692:BQA327720 BZU327692:BZW327720 CJQ327692:CJS327720 CTM327692:CTO327720 DDI327692:DDK327720 DNE327692:DNG327720 DXA327692:DXC327720 EGW327692:EGY327720 EQS327692:EQU327720 FAO327692:FAQ327720 FKK327692:FKM327720 FUG327692:FUI327720 GEC327692:GEE327720 GNY327692:GOA327720 GXU327692:GXW327720 HHQ327692:HHS327720 HRM327692:HRO327720 IBI327692:IBK327720 ILE327692:ILG327720 IVA327692:IVC327720 JEW327692:JEY327720 JOS327692:JOU327720 JYO327692:JYQ327720 KIK327692:KIM327720 KSG327692:KSI327720 LCC327692:LCE327720 LLY327692:LMA327720 LVU327692:LVW327720 MFQ327692:MFS327720 MPM327692:MPO327720 MZI327692:MZK327720 NJE327692:NJG327720 NTA327692:NTC327720 OCW327692:OCY327720 OMS327692:OMU327720 OWO327692:OWQ327720 PGK327692:PGM327720 PQG327692:PQI327720 QAC327692:QAE327720 QJY327692:QKA327720 QTU327692:QTW327720 RDQ327692:RDS327720 RNM327692:RNO327720 RXI327692:RXK327720 SHE327692:SHG327720 SRA327692:SRC327720 TAW327692:TAY327720 TKS327692:TKU327720 TUO327692:TUQ327720 UEK327692:UEM327720 UOG327692:UOI327720 UYC327692:UYE327720 VHY327692:VIA327720 VRU327692:VRW327720 WBQ327692:WBS327720 WLM327692:WLO327720 WVI327692:WVK327720 D393228:F393256 IW393228:IY393256 SS393228:SU393256 ACO393228:ACQ393256 AMK393228:AMM393256 AWG393228:AWI393256 BGC393228:BGE393256 BPY393228:BQA393256 BZU393228:BZW393256 CJQ393228:CJS393256 CTM393228:CTO393256 DDI393228:DDK393256 DNE393228:DNG393256 DXA393228:DXC393256 EGW393228:EGY393256 EQS393228:EQU393256 FAO393228:FAQ393256 FKK393228:FKM393256 FUG393228:FUI393256 GEC393228:GEE393256 GNY393228:GOA393256 GXU393228:GXW393256 HHQ393228:HHS393256 HRM393228:HRO393256 IBI393228:IBK393256 ILE393228:ILG393256 IVA393228:IVC393256 JEW393228:JEY393256 JOS393228:JOU393256 JYO393228:JYQ393256 KIK393228:KIM393256 KSG393228:KSI393256 LCC393228:LCE393256 LLY393228:LMA393256 LVU393228:LVW393256 MFQ393228:MFS393256 MPM393228:MPO393256 MZI393228:MZK393256 NJE393228:NJG393256 NTA393228:NTC393256 OCW393228:OCY393256 OMS393228:OMU393256 OWO393228:OWQ393256 PGK393228:PGM393256 PQG393228:PQI393256 QAC393228:QAE393256 QJY393228:QKA393256 QTU393228:QTW393256 RDQ393228:RDS393256 RNM393228:RNO393256 RXI393228:RXK393256 SHE393228:SHG393256 SRA393228:SRC393256 TAW393228:TAY393256 TKS393228:TKU393256 TUO393228:TUQ393256 UEK393228:UEM393256 UOG393228:UOI393256 UYC393228:UYE393256 VHY393228:VIA393256 VRU393228:VRW393256 WBQ393228:WBS393256 WLM393228:WLO393256 WVI393228:WVK393256 D458764:F458792 IW458764:IY458792 SS458764:SU458792 ACO458764:ACQ458792 AMK458764:AMM458792 AWG458764:AWI458792 BGC458764:BGE458792 BPY458764:BQA458792 BZU458764:BZW458792 CJQ458764:CJS458792 CTM458764:CTO458792 DDI458764:DDK458792 DNE458764:DNG458792 DXA458764:DXC458792 EGW458764:EGY458792 EQS458764:EQU458792 FAO458764:FAQ458792 FKK458764:FKM458792 FUG458764:FUI458792 GEC458764:GEE458792 GNY458764:GOA458792 GXU458764:GXW458792 HHQ458764:HHS458792 HRM458764:HRO458792 IBI458764:IBK458792 ILE458764:ILG458792 IVA458764:IVC458792 JEW458764:JEY458792 JOS458764:JOU458792 JYO458764:JYQ458792 KIK458764:KIM458792 KSG458764:KSI458792 LCC458764:LCE458792 LLY458764:LMA458792 LVU458764:LVW458792 MFQ458764:MFS458792 MPM458764:MPO458792 MZI458764:MZK458792 NJE458764:NJG458792 NTA458764:NTC458792 OCW458764:OCY458792 OMS458764:OMU458792 OWO458764:OWQ458792 PGK458764:PGM458792 PQG458764:PQI458792 QAC458764:QAE458792 QJY458764:QKA458792 QTU458764:QTW458792 RDQ458764:RDS458792 RNM458764:RNO458792 RXI458764:RXK458792 SHE458764:SHG458792 SRA458764:SRC458792 TAW458764:TAY458792 TKS458764:TKU458792 TUO458764:TUQ458792 UEK458764:UEM458792 UOG458764:UOI458792 UYC458764:UYE458792 VHY458764:VIA458792 VRU458764:VRW458792 WBQ458764:WBS458792 WLM458764:WLO458792 WVI458764:WVK458792 D524300:F524328 IW524300:IY524328 SS524300:SU524328 ACO524300:ACQ524328 AMK524300:AMM524328 AWG524300:AWI524328 BGC524300:BGE524328 BPY524300:BQA524328 BZU524300:BZW524328 CJQ524300:CJS524328 CTM524300:CTO524328 DDI524300:DDK524328 DNE524300:DNG524328 DXA524300:DXC524328 EGW524300:EGY524328 EQS524300:EQU524328 FAO524300:FAQ524328 FKK524300:FKM524328 FUG524300:FUI524328 GEC524300:GEE524328 GNY524300:GOA524328 GXU524300:GXW524328 HHQ524300:HHS524328 HRM524300:HRO524328 IBI524300:IBK524328 ILE524300:ILG524328 IVA524300:IVC524328 JEW524300:JEY524328 JOS524300:JOU524328 JYO524300:JYQ524328 KIK524300:KIM524328 KSG524300:KSI524328 LCC524300:LCE524328 LLY524300:LMA524328 LVU524300:LVW524328 MFQ524300:MFS524328 MPM524300:MPO524328 MZI524300:MZK524328 NJE524300:NJG524328 NTA524300:NTC524328 OCW524300:OCY524328 OMS524300:OMU524328 OWO524300:OWQ524328 PGK524300:PGM524328 PQG524300:PQI524328 QAC524300:QAE524328 QJY524300:QKA524328 QTU524300:QTW524328 RDQ524300:RDS524328 RNM524300:RNO524328 RXI524300:RXK524328 SHE524300:SHG524328 SRA524300:SRC524328 TAW524300:TAY524328 TKS524300:TKU524328 TUO524300:TUQ524328 UEK524300:UEM524328 UOG524300:UOI524328 UYC524300:UYE524328 VHY524300:VIA524328 VRU524300:VRW524328 WBQ524300:WBS524328 WLM524300:WLO524328 WVI524300:WVK524328 D589836:F589864 IW589836:IY589864 SS589836:SU589864 ACO589836:ACQ589864 AMK589836:AMM589864 AWG589836:AWI589864 BGC589836:BGE589864 BPY589836:BQA589864 BZU589836:BZW589864 CJQ589836:CJS589864 CTM589836:CTO589864 DDI589836:DDK589864 DNE589836:DNG589864 DXA589836:DXC589864 EGW589836:EGY589864 EQS589836:EQU589864 FAO589836:FAQ589864 FKK589836:FKM589864 FUG589836:FUI589864 GEC589836:GEE589864 GNY589836:GOA589864 GXU589836:GXW589864 HHQ589836:HHS589864 HRM589836:HRO589864 IBI589836:IBK589864 ILE589836:ILG589864 IVA589836:IVC589864 JEW589836:JEY589864 JOS589836:JOU589864 JYO589836:JYQ589864 KIK589836:KIM589864 KSG589836:KSI589864 LCC589836:LCE589864 LLY589836:LMA589864 LVU589836:LVW589864 MFQ589836:MFS589864 MPM589836:MPO589864 MZI589836:MZK589864 NJE589836:NJG589864 NTA589836:NTC589864 OCW589836:OCY589864 OMS589836:OMU589864 OWO589836:OWQ589864 PGK589836:PGM589864 PQG589836:PQI589864 QAC589836:QAE589864 QJY589836:QKA589864 QTU589836:QTW589864 RDQ589836:RDS589864 RNM589836:RNO589864 RXI589836:RXK589864 SHE589836:SHG589864 SRA589836:SRC589864 TAW589836:TAY589864 TKS589836:TKU589864 TUO589836:TUQ589864 UEK589836:UEM589864 UOG589836:UOI589864 UYC589836:UYE589864 VHY589836:VIA589864 VRU589836:VRW589864 WBQ589836:WBS589864 WLM589836:WLO589864 WVI589836:WVK589864 D655372:F655400 IW655372:IY655400 SS655372:SU655400 ACO655372:ACQ655400 AMK655372:AMM655400 AWG655372:AWI655400 BGC655372:BGE655400 BPY655372:BQA655400 BZU655372:BZW655400 CJQ655372:CJS655400 CTM655372:CTO655400 DDI655372:DDK655400 DNE655372:DNG655400 DXA655372:DXC655400 EGW655372:EGY655400 EQS655372:EQU655400 FAO655372:FAQ655400 FKK655372:FKM655400 FUG655372:FUI655400 GEC655372:GEE655400 GNY655372:GOA655400 GXU655372:GXW655400 HHQ655372:HHS655400 HRM655372:HRO655400 IBI655372:IBK655400 ILE655372:ILG655400 IVA655372:IVC655400 JEW655372:JEY655400 JOS655372:JOU655400 JYO655372:JYQ655400 KIK655372:KIM655400 KSG655372:KSI655400 LCC655372:LCE655400 LLY655372:LMA655400 LVU655372:LVW655400 MFQ655372:MFS655400 MPM655372:MPO655400 MZI655372:MZK655400 NJE655372:NJG655400 NTA655372:NTC655400 OCW655372:OCY655400 OMS655372:OMU655400 OWO655372:OWQ655400 PGK655372:PGM655400 PQG655372:PQI655400 QAC655372:QAE655400 QJY655372:QKA655400 QTU655372:QTW655400 RDQ655372:RDS655400 RNM655372:RNO655400 RXI655372:RXK655400 SHE655372:SHG655400 SRA655372:SRC655400 TAW655372:TAY655400 TKS655372:TKU655400 TUO655372:TUQ655400 UEK655372:UEM655400 UOG655372:UOI655400 UYC655372:UYE655400 VHY655372:VIA655400 VRU655372:VRW655400 WBQ655372:WBS655400 WLM655372:WLO655400 WVI655372:WVK655400 D720908:F720936 IW720908:IY720936 SS720908:SU720936 ACO720908:ACQ720936 AMK720908:AMM720936 AWG720908:AWI720936 BGC720908:BGE720936 BPY720908:BQA720936 BZU720908:BZW720936 CJQ720908:CJS720936 CTM720908:CTO720936 DDI720908:DDK720936 DNE720908:DNG720936 DXA720908:DXC720936 EGW720908:EGY720936 EQS720908:EQU720936 FAO720908:FAQ720936 FKK720908:FKM720936 FUG720908:FUI720936 GEC720908:GEE720936 GNY720908:GOA720936 GXU720908:GXW720936 HHQ720908:HHS720936 HRM720908:HRO720936 IBI720908:IBK720936 ILE720908:ILG720936 IVA720908:IVC720936 JEW720908:JEY720936 JOS720908:JOU720936 JYO720908:JYQ720936 KIK720908:KIM720936 KSG720908:KSI720936 LCC720908:LCE720936 LLY720908:LMA720936 LVU720908:LVW720936 MFQ720908:MFS720936 MPM720908:MPO720936 MZI720908:MZK720936 NJE720908:NJG720936 NTA720908:NTC720936 OCW720908:OCY720936 OMS720908:OMU720936 OWO720908:OWQ720936 PGK720908:PGM720936 PQG720908:PQI720936 QAC720908:QAE720936 QJY720908:QKA720936 QTU720908:QTW720936 RDQ720908:RDS720936 RNM720908:RNO720936 RXI720908:RXK720936 SHE720908:SHG720936 SRA720908:SRC720936 TAW720908:TAY720936 TKS720908:TKU720936 TUO720908:TUQ720936 UEK720908:UEM720936 UOG720908:UOI720936 UYC720908:UYE720936 VHY720908:VIA720936 VRU720908:VRW720936 WBQ720908:WBS720936 WLM720908:WLO720936 WVI720908:WVK720936 D786444:F786472 IW786444:IY786472 SS786444:SU786472 ACO786444:ACQ786472 AMK786444:AMM786472 AWG786444:AWI786472 BGC786444:BGE786472 BPY786444:BQA786472 BZU786444:BZW786472 CJQ786444:CJS786472 CTM786444:CTO786472 DDI786444:DDK786472 DNE786444:DNG786472 DXA786444:DXC786472 EGW786444:EGY786472 EQS786444:EQU786472 FAO786444:FAQ786472 FKK786444:FKM786472 FUG786444:FUI786472 GEC786444:GEE786472 GNY786444:GOA786472 GXU786444:GXW786472 HHQ786444:HHS786472 HRM786444:HRO786472 IBI786444:IBK786472 ILE786444:ILG786472 IVA786444:IVC786472 JEW786444:JEY786472 JOS786444:JOU786472 JYO786444:JYQ786472 KIK786444:KIM786472 KSG786444:KSI786472 LCC786444:LCE786472 LLY786444:LMA786472 LVU786444:LVW786472 MFQ786444:MFS786472 MPM786444:MPO786472 MZI786444:MZK786472 NJE786444:NJG786472 NTA786444:NTC786472 OCW786444:OCY786472 OMS786444:OMU786472 OWO786444:OWQ786472 PGK786444:PGM786472 PQG786444:PQI786472 QAC786444:QAE786472 QJY786444:QKA786472 QTU786444:QTW786472 RDQ786444:RDS786472 RNM786444:RNO786472 RXI786444:RXK786472 SHE786444:SHG786472 SRA786444:SRC786472 TAW786444:TAY786472 TKS786444:TKU786472 TUO786444:TUQ786472 UEK786444:UEM786472 UOG786444:UOI786472 UYC786444:UYE786472 VHY786444:VIA786472 VRU786444:VRW786472 WBQ786444:WBS786472 WLM786444:WLO786472 WVI786444:WVK786472 D851980:F852008 IW851980:IY852008 SS851980:SU852008 ACO851980:ACQ852008 AMK851980:AMM852008 AWG851980:AWI852008 BGC851980:BGE852008 BPY851980:BQA852008 BZU851980:BZW852008 CJQ851980:CJS852008 CTM851980:CTO852008 DDI851980:DDK852008 DNE851980:DNG852008 DXA851980:DXC852008 EGW851980:EGY852008 EQS851980:EQU852008 FAO851980:FAQ852008 FKK851980:FKM852008 FUG851980:FUI852008 GEC851980:GEE852008 GNY851980:GOA852008 GXU851980:GXW852008 HHQ851980:HHS852008 HRM851980:HRO852008 IBI851980:IBK852008 ILE851980:ILG852008 IVA851980:IVC852008 JEW851980:JEY852008 JOS851980:JOU852008 JYO851980:JYQ852008 KIK851980:KIM852008 KSG851980:KSI852008 LCC851980:LCE852008 LLY851980:LMA852008 LVU851980:LVW852008 MFQ851980:MFS852008 MPM851980:MPO852008 MZI851980:MZK852008 NJE851980:NJG852008 NTA851980:NTC852008 OCW851980:OCY852008 OMS851980:OMU852008 OWO851980:OWQ852008 PGK851980:PGM852008 PQG851980:PQI852008 QAC851980:QAE852008 QJY851980:QKA852008 QTU851980:QTW852008 RDQ851980:RDS852008 RNM851980:RNO852008 RXI851980:RXK852008 SHE851980:SHG852008 SRA851980:SRC852008 TAW851980:TAY852008 TKS851980:TKU852008 TUO851980:TUQ852008 UEK851980:UEM852008 UOG851980:UOI852008 UYC851980:UYE852008 VHY851980:VIA852008 VRU851980:VRW852008 WBQ851980:WBS852008 WLM851980:WLO852008 WVI851980:WVK852008 D917516:F917544 IW917516:IY917544 SS917516:SU917544 ACO917516:ACQ917544 AMK917516:AMM917544 AWG917516:AWI917544 BGC917516:BGE917544 BPY917516:BQA917544 BZU917516:BZW917544 CJQ917516:CJS917544 CTM917516:CTO917544 DDI917516:DDK917544 DNE917516:DNG917544 DXA917516:DXC917544 EGW917516:EGY917544 EQS917516:EQU917544 FAO917516:FAQ917544 FKK917516:FKM917544 FUG917516:FUI917544 GEC917516:GEE917544 GNY917516:GOA917544 GXU917516:GXW917544 HHQ917516:HHS917544 HRM917516:HRO917544 IBI917516:IBK917544 ILE917516:ILG917544 IVA917516:IVC917544 JEW917516:JEY917544 JOS917516:JOU917544 JYO917516:JYQ917544 KIK917516:KIM917544 KSG917516:KSI917544 LCC917516:LCE917544 LLY917516:LMA917544 LVU917516:LVW917544 MFQ917516:MFS917544 MPM917516:MPO917544 MZI917516:MZK917544 NJE917516:NJG917544 NTA917516:NTC917544 OCW917516:OCY917544 OMS917516:OMU917544 OWO917516:OWQ917544 PGK917516:PGM917544 PQG917516:PQI917544 QAC917516:QAE917544 QJY917516:QKA917544 QTU917516:QTW917544 RDQ917516:RDS917544 RNM917516:RNO917544 RXI917516:RXK917544 SHE917516:SHG917544 SRA917516:SRC917544 TAW917516:TAY917544 TKS917516:TKU917544 TUO917516:TUQ917544 UEK917516:UEM917544 UOG917516:UOI917544 UYC917516:UYE917544 VHY917516:VIA917544 VRU917516:VRW917544 WBQ917516:WBS917544 WLM917516:WLO917544 WVI917516:WVK917544 D983052:F983080 IW983052:IY983080 SS983052:SU983080 ACO983052:ACQ983080 AMK983052:AMM983080 AWG983052:AWI983080 BGC983052:BGE983080 BPY983052:BQA983080 BZU983052:BZW983080 CJQ983052:CJS983080 CTM983052:CTO983080 DDI983052:DDK983080 DNE983052:DNG983080 DXA983052:DXC983080 EGW983052:EGY983080 EQS983052:EQU983080 FAO983052:FAQ983080 FKK983052:FKM983080 FUG983052:FUI983080 GEC983052:GEE983080 GNY983052:GOA983080 GXU983052:GXW983080 HHQ983052:HHS983080 HRM983052:HRO983080 IBI983052:IBK983080 ILE983052:ILG983080 IVA983052:IVC983080 JEW983052:JEY983080 JOS983052:JOU983080 JYO983052:JYQ983080 KIK983052:KIM983080 KSG983052:KSI983080 LCC983052:LCE983080 LLY983052:LMA983080 LVU983052:LVW983080 MFQ983052:MFS983080 MPM983052:MPO983080 MZI983052:MZK983080 NJE983052:NJG983080 NTA983052:NTC983080 OCW983052:OCY983080 OMS983052:OMU983080 OWO983052:OWQ983080 PGK983052:PGM983080 PQG983052:PQI983080 QAC983052:QAE983080 QJY983052:QKA983080 QTU983052:QTW983080 RDQ983052:RDS983080 RNM983052:RNO983080 RXI983052:RXK983080 SHE983052:SHG983080 SRA983052:SRC983080 TAW983052:TAY983080 TKS983052:TKU983080 TUO983052:TUQ983080 UEK983052:UEM983080 UOG983052:UOI983080 UYC983052:UYE983080 VHY983052:VIA983080 VRU983052:VRW983080 WBQ983052:WBS983080 WLM983052:WLO983080 WVI983052:WVK983080 D10:D11 IW50:IW56 SS50:SS56 ACO50:ACO56 AMK50:AMK56 AWG50:AWG56 BGC50:BGC56 BPY50:BPY56 BZU50:BZU56 CJQ50:CJQ56 CTM50:CTM56 DDI50:DDI56 DNE50:DNE56 DXA50:DXA56 EGW50:EGW56 EQS50:EQS56 FAO50:FAO56 FKK50:FKK56 FUG50:FUG56 GEC50:GEC56 GNY50:GNY56 GXU50:GXU56 HHQ50:HHQ56 HRM50:HRM56 IBI50:IBI56 ILE50:ILE56 IVA50:IVA56 JEW50:JEW56 JOS50:JOS56 JYO50:JYO56 KIK50:KIK56 KSG50:KSG56 LCC50:LCC56 LLY50:LLY56 LVU50:LVU56 MFQ50:MFQ56 MPM50:MPM56 MZI50:MZI56 NJE50:NJE56 NTA50:NTA56 OCW50:OCW56 OMS50:OMS56 OWO50:OWO56 PGK50:PGK56 PQG50:PQG56 QAC50:QAC56 QJY50:QJY56 QTU50:QTU56 RDQ50:RDQ56 RNM50:RNM56 RXI50:RXI56 SHE50:SHE56 SRA50:SRA56 TAW50:TAW56 TKS50:TKS56 TUO50:TUO56 UEK50:UEK56 UOG50:UOG56 UYC50:UYC56 VHY50:VHY56 VRU50:VRU56 WBQ50:WBQ56 WLM50:WLM56 WVI50:WVI56 D65582:D65588 IW65582:IW65588 SS65582:SS65588 ACO65582:ACO65588 AMK65582:AMK65588 AWG65582:AWG65588 BGC65582:BGC65588 BPY65582:BPY65588 BZU65582:BZU65588 CJQ65582:CJQ65588 CTM65582:CTM65588 DDI65582:DDI65588 DNE65582:DNE65588 DXA65582:DXA65588 EGW65582:EGW65588 EQS65582:EQS65588 FAO65582:FAO65588 FKK65582:FKK65588 FUG65582:FUG65588 GEC65582:GEC65588 GNY65582:GNY65588 GXU65582:GXU65588 HHQ65582:HHQ65588 HRM65582:HRM65588 IBI65582:IBI65588 ILE65582:ILE65588 IVA65582:IVA65588 JEW65582:JEW65588 JOS65582:JOS65588 JYO65582:JYO65588 KIK65582:KIK65588 KSG65582:KSG65588 LCC65582:LCC65588 LLY65582:LLY65588 LVU65582:LVU65588 MFQ65582:MFQ65588 MPM65582:MPM65588 MZI65582:MZI65588 NJE65582:NJE65588 NTA65582:NTA65588 OCW65582:OCW65588 OMS65582:OMS65588 OWO65582:OWO65588 PGK65582:PGK65588 PQG65582:PQG65588 QAC65582:QAC65588 QJY65582:QJY65588 QTU65582:QTU65588 RDQ65582:RDQ65588 RNM65582:RNM65588 RXI65582:RXI65588 SHE65582:SHE65588 SRA65582:SRA65588 TAW65582:TAW65588 TKS65582:TKS65588 TUO65582:TUO65588 UEK65582:UEK65588 UOG65582:UOG65588 UYC65582:UYC65588 VHY65582:VHY65588 VRU65582:VRU65588 WBQ65582:WBQ65588 WLM65582:WLM65588 WVI65582:WVI65588 D131118:D131124 IW131118:IW131124 SS131118:SS131124 ACO131118:ACO131124 AMK131118:AMK131124 AWG131118:AWG131124 BGC131118:BGC131124 BPY131118:BPY131124 BZU131118:BZU131124 CJQ131118:CJQ131124 CTM131118:CTM131124 DDI131118:DDI131124 DNE131118:DNE131124 DXA131118:DXA131124 EGW131118:EGW131124 EQS131118:EQS131124 FAO131118:FAO131124 FKK131118:FKK131124 FUG131118:FUG131124 GEC131118:GEC131124 GNY131118:GNY131124 GXU131118:GXU131124 HHQ131118:HHQ131124 HRM131118:HRM131124 IBI131118:IBI131124 ILE131118:ILE131124 IVA131118:IVA131124 JEW131118:JEW131124 JOS131118:JOS131124 JYO131118:JYO131124 KIK131118:KIK131124 KSG131118:KSG131124 LCC131118:LCC131124 LLY131118:LLY131124 LVU131118:LVU131124 MFQ131118:MFQ131124 MPM131118:MPM131124 MZI131118:MZI131124 NJE131118:NJE131124 NTA131118:NTA131124 OCW131118:OCW131124 OMS131118:OMS131124 OWO131118:OWO131124 PGK131118:PGK131124 PQG131118:PQG131124 QAC131118:QAC131124 QJY131118:QJY131124 QTU131118:QTU131124 RDQ131118:RDQ131124 RNM131118:RNM131124 RXI131118:RXI131124 SHE131118:SHE131124 SRA131118:SRA131124 TAW131118:TAW131124 TKS131118:TKS131124 TUO131118:TUO131124 UEK131118:UEK131124 UOG131118:UOG131124 UYC131118:UYC131124 VHY131118:VHY131124 VRU131118:VRU131124 WBQ131118:WBQ131124 WLM131118:WLM131124 WVI131118:WVI131124 D196654:D196660 IW196654:IW196660 SS196654:SS196660 ACO196654:ACO196660 AMK196654:AMK196660 AWG196654:AWG196660 BGC196654:BGC196660 BPY196654:BPY196660 BZU196654:BZU196660 CJQ196654:CJQ196660 CTM196654:CTM196660 DDI196654:DDI196660 DNE196654:DNE196660 DXA196654:DXA196660 EGW196654:EGW196660 EQS196654:EQS196660 FAO196654:FAO196660 FKK196654:FKK196660 FUG196654:FUG196660 GEC196654:GEC196660 GNY196654:GNY196660 GXU196654:GXU196660 HHQ196654:HHQ196660 HRM196654:HRM196660 IBI196654:IBI196660 ILE196654:ILE196660 IVA196654:IVA196660 JEW196654:JEW196660 JOS196654:JOS196660 JYO196654:JYO196660 KIK196654:KIK196660 KSG196654:KSG196660 LCC196654:LCC196660 LLY196654:LLY196660 LVU196654:LVU196660 MFQ196654:MFQ196660 MPM196654:MPM196660 MZI196654:MZI196660 NJE196654:NJE196660 NTA196654:NTA196660 OCW196654:OCW196660 OMS196654:OMS196660 OWO196654:OWO196660 PGK196654:PGK196660 PQG196654:PQG196660 QAC196654:QAC196660 QJY196654:QJY196660 QTU196654:QTU196660 RDQ196654:RDQ196660 RNM196654:RNM196660 RXI196654:RXI196660 SHE196654:SHE196660 SRA196654:SRA196660 TAW196654:TAW196660 TKS196654:TKS196660 TUO196654:TUO196660 UEK196654:UEK196660 UOG196654:UOG196660 UYC196654:UYC196660 VHY196654:VHY196660 VRU196654:VRU196660 WBQ196654:WBQ196660 WLM196654:WLM196660 WVI196654:WVI196660 D262190:D262196 IW262190:IW262196 SS262190:SS262196 ACO262190:ACO262196 AMK262190:AMK262196 AWG262190:AWG262196 BGC262190:BGC262196 BPY262190:BPY262196 BZU262190:BZU262196 CJQ262190:CJQ262196 CTM262190:CTM262196 DDI262190:DDI262196 DNE262190:DNE262196 DXA262190:DXA262196 EGW262190:EGW262196 EQS262190:EQS262196 FAO262190:FAO262196 FKK262190:FKK262196 FUG262190:FUG262196 GEC262190:GEC262196 GNY262190:GNY262196 GXU262190:GXU262196 HHQ262190:HHQ262196 HRM262190:HRM262196 IBI262190:IBI262196 ILE262190:ILE262196 IVA262190:IVA262196 JEW262190:JEW262196 JOS262190:JOS262196 JYO262190:JYO262196 KIK262190:KIK262196 KSG262190:KSG262196 LCC262190:LCC262196 LLY262190:LLY262196 LVU262190:LVU262196 MFQ262190:MFQ262196 MPM262190:MPM262196 MZI262190:MZI262196 NJE262190:NJE262196 NTA262190:NTA262196 OCW262190:OCW262196 OMS262190:OMS262196 OWO262190:OWO262196 PGK262190:PGK262196 PQG262190:PQG262196 QAC262190:QAC262196 QJY262190:QJY262196 QTU262190:QTU262196 RDQ262190:RDQ262196 RNM262190:RNM262196 RXI262190:RXI262196 SHE262190:SHE262196 SRA262190:SRA262196 TAW262190:TAW262196 TKS262190:TKS262196 TUO262190:TUO262196 UEK262190:UEK262196 UOG262190:UOG262196 UYC262190:UYC262196 VHY262190:VHY262196 VRU262190:VRU262196 WBQ262190:WBQ262196 WLM262190:WLM262196 WVI262190:WVI262196 D327726:D327732 IW327726:IW327732 SS327726:SS327732 ACO327726:ACO327732 AMK327726:AMK327732 AWG327726:AWG327732 BGC327726:BGC327732 BPY327726:BPY327732 BZU327726:BZU327732 CJQ327726:CJQ327732 CTM327726:CTM327732 DDI327726:DDI327732 DNE327726:DNE327732 DXA327726:DXA327732 EGW327726:EGW327732 EQS327726:EQS327732 FAO327726:FAO327732 FKK327726:FKK327732 FUG327726:FUG327732 GEC327726:GEC327732 GNY327726:GNY327732 GXU327726:GXU327732 HHQ327726:HHQ327732 HRM327726:HRM327732 IBI327726:IBI327732 ILE327726:ILE327732 IVA327726:IVA327732 JEW327726:JEW327732 JOS327726:JOS327732 JYO327726:JYO327732 KIK327726:KIK327732 KSG327726:KSG327732 LCC327726:LCC327732 LLY327726:LLY327732 LVU327726:LVU327732 MFQ327726:MFQ327732 MPM327726:MPM327732 MZI327726:MZI327732 NJE327726:NJE327732 NTA327726:NTA327732 OCW327726:OCW327732 OMS327726:OMS327732 OWO327726:OWO327732 PGK327726:PGK327732 PQG327726:PQG327732 QAC327726:QAC327732 QJY327726:QJY327732 QTU327726:QTU327732 RDQ327726:RDQ327732 RNM327726:RNM327732 RXI327726:RXI327732 SHE327726:SHE327732 SRA327726:SRA327732 TAW327726:TAW327732 TKS327726:TKS327732 TUO327726:TUO327732 UEK327726:UEK327732 UOG327726:UOG327732 UYC327726:UYC327732 VHY327726:VHY327732 VRU327726:VRU327732 WBQ327726:WBQ327732 WLM327726:WLM327732 WVI327726:WVI327732 D393262:D393268 IW393262:IW393268 SS393262:SS393268 ACO393262:ACO393268 AMK393262:AMK393268 AWG393262:AWG393268 BGC393262:BGC393268 BPY393262:BPY393268 BZU393262:BZU393268 CJQ393262:CJQ393268 CTM393262:CTM393268 DDI393262:DDI393268 DNE393262:DNE393268 DXA393262:DXA393268 EGW393262:EGW393268 EQS393262:EQS393268 FAO393262:FAO393268 FKK393262:FKK393268 FUG393262:FUG393268 GEC393262:GEC393268 GNY393262:GNY393268 GXU393262:GXU393268 HHQ393262:HHQ393268 HRM393262:HRM393268 IBI393262:IBI393268 ILE393262:ILE393268 IVA393262:IVA393268 JEW393262:JEW393268 JOS393262:JOS393268 JYO393262:JYO393268 KIK393262:KIK393268 KSG393262:KSG393268 LCC393262:LCC393268 LLY393262:LLY393268 LVU393262:LVU393268 MFQ393262:MFQ393268 MPM393262:MPM393268 MZI393262:MZI393268 NJE393262:NJE393268 NTA393262:NTA393268 OCW393262:OCW393268 OMS393262:OMS393268 OWO393262:OWO393268 PGK393262:PGK393268 PQG393262:PQG393268 QAC393262:QAC393268 QJY393262:QJY393268 QTU393262:QTU393268 RDQ393262:RDQ393268 RNM393262:RNM393268 RXI393262:RXI393268 SHE393262:SHE393268 SRA393262:SRA393268 TAW393262:TAW393268 TKS393262:TKS393268 TUO393262:TUO393268 UEK393262:UEK393268 UOG393262:UOG393268 UYC393262:UYC393268 VHY393262:VHY393268 VRU393262:VRU393268 WBQ393262:WBQ393268 WLM393262:WLM393268 WVI393262:WVI393268 D458798:D458804 IW458798:IW458804 SS458798:SS458804 ACO458798:ACO458804 AMK458798:AMK458804 AWG458798:AWG458804 BGC458798:BGC458804 BPY458798:BPY458804 BZU458798:BZU458804 CJQ458798:CJQ458804 CTM458798:CTM458804 DDI458798:DDI458804 DNE458798:DNE458804 DXA458798:DXA458804 EGW458798:EGW458804 EQS458798:EQS458804 FAO458798:FAO458804 FKK458798:FKK458804 FUG458798:FUG458804 GEC458798:GEC458804 GNY458798:GNY458804 GXU458798:GXU458804 HHQ458798:HHQ458804 HRM458798:HRM458804 IBI458798:IBI458804 ILE458798:ILE458804 IVA458798:IVA458804 JEW458798:JEW458804 JOS458798:JOS458804 JYO458798:JYO458804 KIK458798:KIK458804 KSG458798:KSG458804 LCC458798:LCC458804 LLY458798:LLY458804 LVU458798:LVU458804 MFQ458798:MFQ458804 MPM458798:MPM458804 MZI458798:MZI458804 NJE458798:NJE458804 NTA458798:NTA458804 OCW458798:OCW458804 OMS458798:OMS458804 OWO458798:OWO458804 PGK458798:PGK458804 PQG458798:PQG458804 QAC458798:QAC458804 QJY458798:QJY458804 QTU458798:QTU458804 RDQ458798:RDQ458804 RNM458798:RNM458804 RXI458798:RXI458804 SHE458798:SHE458804 SRA458798:SRA458804 TAW458798:TAW458804 TKS458798:TKS458804 TUO458798:TUO458804 UEK458798:UEK458804 UOG458798:UOG458804 UYC458798:UYC458804 VHY458798:VHY458804 VRU458798:VRU458804 WBQ458798:WBQ458804 WLM458798:WLM458804 WVI458798:WVI458804 D524334:D524340 IW524334:IW524340 SS524334:SS524340 ACO524334:ACO524340 AMK524334:AMK524340 AWG524334:AWG524340 BGC524334:BGC524340 BPY524334:BPY524340 BZU524334:BZU524340 CJQ524334:CJQ524340 CTM524334:CTM524340 DDI524334:DDI524340 DNE524334:DNE524340 DXA524334:DXA524340 EGW524334:EGW524340 EQS524334:EQS524340 FAO524334:FAO524340 FKK524334:FKK524340 FUG524334:FUG524340 GEC524334:GEC524340 GNY524334:GNY524340 GXU524334:GXU524340 HHQ524334:HHQ524340 HRM524334:HRM524340 IBI524334:IBI524340 ILE524334:ILE524340 IVA524334:IVA524340 JEW524334:JEW524340 JOS524334:JOS524340 JYO524334:JYO524340 KIK524334:KIK524340 KSG524334:KSG524340 LCC524334:LCC524340 LLY524334:LLY524340 LVU524334:LVU524340 MFQ524334:MFQ524340 MPM524334:MPM524340 MZI524334:MZI524340 NJE524334:NJE524340 NTA524334:NTA524340 OCW524334:OCW524340 OMS524334:OMS524340 OWO524334:OWO524340 PGK524334:PGK524340 PQG524334:PQG524340 QAC524334:QAC524340 QJY524334:QJY524340 QTU524334:QTU524340 RDQ524334:RDQ524340 RNM524334:RNM524340 RXI524334:RXI524340 SHE524334:SHE524340 SRA524334:SRA524340 TAW524334:TAW524340 TKS524334:TKS524340 TUO524334:TUO524340 UEK524334:UEK524340 UOG524334:UOG524340 UYC524334:UYC524340 VHY524334:VHY524340 VRU524334:VRU524340 WBQ524334:WBQ524340 WLM524334:WLM524340 WVI524334:WVI524340 D589870:D589876 IW589870:IW589876 SS589870:SS589876 ACO589870:ACO589876 AMK589870:AMK589876 AWG589870:AWG589876 BGC589870:BGC589876 BPY589870:BPY589876 BZU589870:BZU589876 CJQ589870:CJQ589876 CTM589870:CTM589876 DDI589870:DDI589876 DNE589870:DNE589876 DXA589870:DXA589876 EGW589870:EGW589876 EQS589870:EQS589876 FAO589870:FAO589876 FKK589870:FKK589876 FUG589870:FUG589876 GEC589870:GEC589876 GNY589870:GNY589876 GXU589870:GXU589876 HHQ589870:HHQ589876 HRM589870:HRM589876 IBI589870:IBI589876 ILE589870:ILE589876 IVA589870:IVA589876 JEW589870:JEW589876 JOS589870:JOS589876 JYO589870:JYO589876 KIK589870:KIK589876 KSG589870:KSG589876 LCC589870:LCC589876 LLY589870:LLY589876 LVU589870:LVU589876 MFQ589870:MFQ589876 MPM589870:MPM589876 MZI589870:MZI589876 NJE589870:NJE589876 NTA589870:NTA589876 OCW589870:OCW589876 OMS589870:OMS589876 OWO589870:OWO589876 PGK589870:PGK589876 PQG589870:PQG589876 QAC589870:QAC589876 QJY589870:QJY589876 QTU589870:QTU589876 RDQ589870:RDQ589876 RNM589870:RNM589876 RXI589870:RXI589876 SHE589870:SHE589876 SRA589870:SRA589876 TAW589870:TAW589876 TKS589870:TKS589876 TUO589870:TUO589876 UEK589870:UEK589876 UOG589870:UOG589876 UYC589870:UYC589876 VHY589870:VHY589876 VRU589870:VRU589876 WBQ589870:WBQ589876 WLM589870:WLM589876 WVI589870:WVI589876 D655406:D655412 IW655406:IW655412 SS655406:SS655412 ACO655406:ACO655412 AMK655406:AMK655412 AWG655406:AWG655412 BGC655406:BGC655412 BPY655406:BPY655412 BZU655406:BZU655412 CJQ655406:CJQ655412 CTM655406:CTM655412 DDI655406:DDI655412 DNE655406:DNE655412 DXA655406:DXA655412 EGW655406:EGW655412 EQS655406:EQS655412 FAO655406:FAO655412 FKK655406:FKK655412 FUG655406:FUG655412 GEC655406:GEC655412 GNY655406:GNY655412 GXU655406:GXU655412 HHQ655406:HHQ655412 HRM655406:HRM655412 IBI655406:IBI655412 ILE655406:ILE655412 IVA655406:IVA655412 JEW655406:JEW655412 JOS655406:JOS655412 JYO655406:JYO655412 KIK655406:KIK655412 KSG655406:KSG655412 LCC655406:LCC655412 LLY655406:LLY655412 LVU655406:LVU655412 MFQ655406:MFQ655412 MPM655406:MPM655412 MZI655406:MZI655412 NJE655406:NJE655412 NTA655406:NTA655412 OCW655406:OCW655412 OMS655406:OMS655412 OWO655406:OWO655412 PGK655406:PGK655412 PQG655406:PQG655412 QAC655406:QAC655412 QJY655406:QJY655412 QTU655406:QTU655412 RDQ655406:RDQ655412 RNM655406:RNM655412 RXI655406:RXI655412 SHE655406:SHE655412 SRA655406:SRA655412 TAW655406:TAW655412 TKS655406:TKS655412 TUO655406:TUO655412 UEK655406:UEK655412 UOG655406:UOG655412 UYC655406:UYC655412 VHY655406:VHY655412 VRU655406:VRU655412 WBQ655406:WBQ655412 WLM655406:WLM655412 WVI655406:WVI655412 D720942:D720948 IW720942:IW720948 SS720942:SS720948 ACO720942:ACO720948 AMK720942:AMK720948 AWG720942:AWG720948 BGC720942:BGC720948 BPY720942:BPY720948 BZU720942:BZU720948 CJQ720942:CJQ720948 CTM720942:CTM720948 DDI720942:DDI720948 DNE720942:DNE720948 DXA720942:DXA720948 EGW720942:EGW720948 EQS720942:EQS720948 FAO720942:FAO720948 FKK720942:FKK720948 FUG720942:FUG720948 GEC720942:GEC720948 GNY720942:GNY720948 GXU720942:GXU720948 HHQ720942:HHQ720948 HRM720942:HRM720948 IBI720942:IBI720948 ILE720942:ILE720948 IVA720942:IVA720948 JEW720942:JEW720948 JOS720942:JOS720948 JYO720942:JYO720948 KIK720942:KIK720948 KSG720942:KSG720948 LCC720942:LCC720948 LLY720942:LLY720948 LVU720942:LVU720948 MFQ720942:MFQ720948 MPM720942:MPM720948 MZI720942:MZI720948 NJE720942:NJE720948 NTA720942:NTA720948 OCW720942:OCW720948 OMS720942:OMS720948 OWO720942:OWO720948 PGK720942:PGK720948 PQG720942:PQG720948 QAC720942:QAC720948 QJY720942:QJY720948 QTU720942:QTU720948 RDQ720942:RDQ720948 RNM720942:RNM720948 RXI720942:RXI720948 SHE720942:SHE720948 SRA720942:SRA720948 TAW720942:TAW720948 TKS720942:TKS720948 TUO720942:TUO720948 UEK720942:UEK720948 UOG720942:UOG720948 UYC720942:UYC720948 VHY720942:VHY720948 VRU720942:VRU720948 WBQ720942:WBQ720948 WLM720942:WLM720948 WVI720942:WVI720948 D786478:D786484 IW786478:IW786484 SS786478:SS786484 ACO786478:ACO786484 AMK786478:AMK786484 AWG786478:AWG786484 BGC786478:BGC786484 BPY786478:BPY786484 BZU786478:BZU786484 CJQ786478:CJQ786484 CTM786478:CTM786484 DDI786478:DDI786484 DNE786478:DNE786484 DXA786478:DXA786484 EGW786478:EGW786484 EQS786478:EQS786484 FAO786478:FAO786484 FKK786478:FKK786484 FUG786478:FUG786484 GEC786478:GEC786484 GNY786478:GNY786484 GXU786478:GXU786484 HHQ786478:HHQ786484 HRM786478:HRM786484 IBI786478:IBI786484 ILE786478:ILE786484 IVA786478:IVA786484 JEW786478:JEW786484 JOS786478:JOS786484 JYO786478:JYO786484 KIK786478:KIK786484 KSG786478:KSG786484 LCC786478:LCC786484 LLY786478:LLY786484 LVU786478:LVU786484 MFQ786478:MFQ786484 MPM786478:MPM786484 MZI786478:MZI786484 NJE786478:NJE786484 NTA786478:NTA786484 OCW786478:OCW786484 OMS786478:OMS786484 OWO786478:OWO786484 PGK786478:PGK786484 PQG786478:PQG786484 QAC786478:QAC786484 QJY786478:QJY786484 QTU786478:QTU786484 RDQ786478:RDQ786484 RNM786478:RNM786484 RXI786478:RXI786484 SHE786478:SHE786484 SRA786478:SRA786484 TAW786478:TAW786484 TKS786478:TKS786484 TUO786478:TUO786484 UEK786478:UEK786484 UOG786478:UOG786484 UYC786478:UYC786484 VHY786478:VHY786484 VRU786478:VRU786484 WBQ786478:WBQ786484 WLM786478:WLM786484 WVI786478:WVI786484 D852014:D852020 IW852014:IW852020 SS852014:SS852020 ACO852014:ACO852020 AMK852014:AMK852020 AWG852014:AWG852020 BGC852014:BGC852020 BPY852014:BPY852020 BZU852014:BZU852020 CJQ852014:CJQ852020 CTM852014:CTM852020 DDI852014:DDI852020 DNE852014:DNE852020 DXA852014:DXA852020 EGW852014:EGW852020 EQS852014:EQS852020 FAO852014:FAO852020 FKK852014:FKK852020 FUG852014:FUG852020 GEC852014:GEC852020 GNY852014:GNY852020 GXU852014:GXU852020 HHQ852014:HHQ852020 HRM852014:HRM852020 IBI852014:IBI852020 ILE852014:ILE852020 IVA852014:IVA852020 JEW852014:JEW852020 JOS852014:JOS852020 JYO852014:JYO852020 KIK852014:KIK852020 KSG852014:KSG852020 LCC852014:LCC852020 LLY852014:LLY852020 LVU852014:LVU852020 MFQ852014:MFQ852020 MPM852014:MPM852020 MZI852014:MZI852020 NJE852014:NJE852020 NTA852014:NTA852020 OCW852014:OCW852020 OMS852014:OMS852020 OWO852014:OWO852020 PGK852014:PGK852020 PQG852014:PQG852020 QAC852014:QAC852020 QJY852014:QJY852020 QTU852014:QTU852020 RDQ852014:RDQ852020 RNM852014:RNM852020 RXI852014:RXI852020 SHE852014:SHE852020 SRA852014:SRA852020 TAW852014:TAW852020 TKS852014:TKS852020 TUO852014:TUO852020 UEK852014:UEK852020 UOG852014:UOG852020 UYC852014:UYC852020 VHY852014:VHY852020 VRU852014:VRU852020 WBQ852014:WBQ852020 WLM852014:WLM852020 WVI852014:WVI852020 D917550:D917556 IW917550:IW917556 SS917550:SS917556 ACO917550:ACO917556 AMK917550:AMK917556 AWG917550:AWG917556 BGC917550:BGC917556 BPY917550:BPY917556 BZU917550:BZU917556 CJQ917550:CJQ917556 CTM917550:CTM917556 DDI917550:DDI917556 DNE917550:DNE917556 DXA917550:DXA917556 EGW917550:EGW917556 EQS917550:EQS917556 FAO917550:FAO917556 FKK917550:FKK917556 FUG917550:FUG917556 GEC917550:GEC917556 GNY917550:GNY917556 GXU917550:GXU917556 HHQ917550:HHQ917556 HRM917550:HRM917556 IBI917550:IBI917556 ILE917550:ILE917556 IVA917550:IVA917556 JEW917550:JEW917556 JOS917550:JOS917556 JYO917550:JYO917556 KIK917550:KIK917556 KSG917550:KSG917556 LCC917550:LCC917556 LLY917550:LLY917556 LVU917550:LVU917556 MFQ917550:MFQ917556 MPM917550:MPM917556 MZI917550:MZI917556 NJE917550:NJE917556 NTA917550:NTA917556 OCW917550:OCW917556 OMS917550:OMS917556 OWO917550:OWO917556 PGK917550:PGK917556 PQG917550:PQG917556 QAC917550:QAC917556 QJY917550:QJY917556 QTU917550:QTU917556 RDQ917550:RDQ917556 RNM917550:RNM917556 RXI917550:RXI917556 SHE917550:SHE917556 SRA917550:SRA917556 TAW917550:TAW917556 TKS917550:TKS917556 TUO917550:TUO917556 UEK917550:UEK917556 UOG917550:UOG917556 UYC917550:UYC917556 VHY917550:VHY917556 VRU917550:VRU917556 WBQ917550:WBQ917556 WLM917550:WLM917556 WVI917550:WVI917556 D983086:D983092 IW983086:IW983092 SS983086:SS983092 ACO983086:ACO983092 AMK983086:AMK983092 AWG983086:AWG983092 BGC983086:BGC983092 BPY983086:BPY983092 BZU983086:BZU983092 CJQ983086:CJQ983092 CTM983086:CTM983092 DDI983086:DDI983092 DNE983086:DNE983092 DXA983086:DXA983092 EGW983086:EGW983092 EQS983086:EQS983092 FAO983086:FAO983092 FKK983086:FKK983092 FUG983086:FUG983092 GEC983086:GEC983092 GNY983086:GNY983092 GXU983086:GXU983092 HHQ983086:HHQ983092 HRM983086:HRM983092 IBI983086:IBI983092 ILE983086:ILE983092 IVA983086:IVA983092 JEW983086:JEW983092 JOS983086:JOS983092 JYO983086:JYO983092 KIK983086:KIK983092 KSG983086:KSG983092 LCC983086:LCC983092 LLY983086:LLY983092 LVU983086:LVU983092 MFQ983086:MFQ983092 MPM983086:MPM983092 MZI983086:MZI983092 NJE983086:NJE983092 NTA983086:NTA983092 OCW983086:OCW983092 OMS983086:OMS983092 OWO983086:OWO983092 PGK983086:PGK983092 PQG983086:PQG983092 QAC983086:QAC983092 QJY983086:QJY983092 QTU983086:QTU983092 RDQ983086:RDQ983092 RNM983086:RNM983092 RXI983086:RXI983092 SHE983086:SHE983092 SRA983086:SRA983092 TAW983086:TAW983092 TKS983086:TKS983092 TUO983086:TUO983092 UEK983086:UEK983092 UOG983086:UOG983092 UYC983086:UYC983092 VHY983086:VHY983092 VRU983086:VRU983092 WBQ983086:WBQ983092 WLM983086:WLM983092 WVI983086:WVI983092 D53:D56 IY50:IY56 SU50:SU56 ACQ50:ACQ56 AMM50:AMM56 AWI50:AWI56 BGE50:BGE56 BQA50:BQA56 BZW50:BZW56 CJS50:CJS56 CTO50:CTO56 DDK50:DDK56 DNG50:DNG56 DXC50:DXC56 EGY50:EGY56 EQU50:EQU56 FAQ50:FAQ56 FKM50:FKM56 FUI50:FUI56 GEE50:GEE56 GOA50:GOA56 GXW50:GXW56 HHS50:HHS56 HRO50:HRO56 IBK50:IBK56 ILG50:ILG56 IVC50:IVC56 JEY50:JEY56 JOU50:JOU56 JYQ50:JYQ56 KIM50:KIM56 KSI50:KSI56 LCE50:LCE56 LMA50:LMA56 LVW50:LVW56 MFS50:MFS56 MPO50:MPO56 MZK50:MZK56 NJG50:NJG56 NTC50:NTC56 OCY50:OCY56 OMU50:OMU56 OWQ50:OWQ56 PGM50:PGM56 PQI50:PQI56 QAE50:QAE56 QKA50:QKA56 QTW50:QTW56 RDS50:RDS56 RNO50:RNO56 RXK50:RXK56 SHG50:SHG56 SRC50:SRC56 TAY50:TAY56 TKU50:TKU56 TUQ50:TUQ56 UEM50:UEM56 UOI50:UOI56 UYE50:UYE56 VIA50:VIA56 VRW50:VRW56 WBS50:WBS56 WLO50:WLO56 WVK50:WVK56 F65582:F65588 IY65582:IY65588 SU65582:SU65588 ACQ65582:ACQ65588 AMM65582:AMM65588 AWI65582:AWI65588 BGE65582:BGE65588 BQA65582:BQA65588 BZW65582:BZW65588 CJS65582:CJS65588 CTO65582:CTO65588 DDK65582:DDK65588 DNG65582:DNG65588 DXC65582:DXC65588 EGY65582:EGY65588 EQU65582:EQU65588 FAQ65582:FAQ65588 FKM65582:FKM65588 FUI65582:FUI65588 GEE65582:GEE65588 GOA65582:GOA65588 GXW65582:GXW65588 HHS65582:HHS65588 HRO65582:HRO65588 IBK65582:IBK65588 ILG65582:ILG65588 IVC65582:IVC65588 JEY65582:JEY65588 JOU65582:JOU65588 JYQ65582:JYQ65588 KIM65582:KIM65588 KSI65582:KSI65588 LCE65582:LCE65588 LMA65582:LMA65588 LVW65582:LVW65588 MFS65582:MFS65588 MPO65582:MPO65588 MZK65582:MZK65588 NJG65582:NJG65588 NTC65582:NTC65588 OCY65582:OCY65588 OMU65582:OMU65588 OWQ65582:OWQ65588 PGM65582:PGM65588 PQI65582:PQI65588 QAE65582:QAE65588 QKA65582:QKA65588 QTW65582:QTW65588 RDS65582:RDS65588 RNO65582:RNO65588 RXK65582:RXK65588 SHG65582:SHG65588 SRC65582:SRC65588 TAY65582:TAY65588 TKU65582:TKU65588 TUQ65582:TUQ65588 UEM65582:UEM65588 UOI65582:UOI65588 UYE65582:UYE65588 VIA65582:VIA65588 VRW65582:VRW65588 WBS65582:WBS65588 WLO65582:WLO65588 WVK65582:WVK65588 F131118:F131124 IY131118:IY131124 SU131118:SU131124 ACQ131118:ACQ131124 AMM131118:AMM131124 AWI131118:AWI131124 BGE131118:BGE131124 BQA131118:BQA131124 BZW131118:BZW131124 CJS131118:CJS131124 CTO131118:CTO131124 DDK131118:DDK131124 DNG131118:DNG131124 DXC131118:DXC131124 EGY131118:EGY131124 EQU131118:EQU131124 FAQ131118:FAQ131124 FKM131118:FKM131124 FUI131118:FUI131124 GEE131118:GEE131124 GOA131118:GOA131124 GXW131118:GXW131124 HHS131118:HHS131124 HRO131118:HRO131124 IBK131118:IBK131124 ILG131118:ILG131124 IVC131118:IVC131124 JEY131118:JEY131124 JOU131118:JOU131124 JYQ131118:JYQ131124 KIM131118:KIM131124 KSI131118:KSI131124 LCE131118:LCE131124 LMA131118:LMA131124 LVW131118:LVW131124 MFS131118:MFS131124 MPO131118:MPO131124 MZK131118:MZK131124 NJG131118:NJG131124 NTC131118:NTC131124 OCY131118:OCY131124 OMU131118:OMU131124 OWQ131118:OWQ131124 PGM131118:PGM131124 PQI131118:PQI131124 QAE131118:QAE131124 QKA131118:QKA131124 QTW131118:QTW131124 RDS131118:RDS131124 RNO131118:RNO131124 RXK131118:RXK131124 SHG131118:SHG131124 SRC131118:SRC131124 TAY131118:TAY131124 TKU131118:TKU131124 TUQ131118:TUQ131124 UEM131118:UEM131124 UOI131118:UOI131124 UYE131118:UYE131124 VIA131118:VIA131124 VRW131118:VRW131124 WBS131118:WBS131124 WLO131118:WLO131124 WVK131118:WVK131124 F196654:F196660 IY196654:IY196660 SU196654:SU196660 ACQ196654:ACQ196660 AMM196654:AMM196660 AWI196654:AWI196660 BGE196654:BGE196660 BQA196654:BQA196660 BZW196654:BZW196660 CJS196654:CJS196660 CTO196654:CTO196660 DDK196654:DDK196660 DNG196654:DNG196660 DXC196654:DXC196660 EGY196654:EGY196660 EQU196654:EQU196660 FAQ196654:FAQ196660 FKM196654:FKM196660 FUI196654:FUI196660 GEE196654:GEE196660 GOA196654:GOA196660 GXW196654:GXW196660 HHS196654:HHS196660 HRO196654:HRO196660 IBK196654:IBK196660 ILG196654:ILG196660 IVC196654:IVC196660 JEY196654:JEY196660 JOU196654:JOU196660 JYQ196654:JYQ196660 KIM196654:KIM196660 KSI196654:KSI196660 LCE196654:LCE196660 LMA196654:LMA196660 LVW196654:LVW196660 MFS196654:MFS196660 MPO196654:MPO196660 MZK196654:MZK196660 NJG196654:NJG196660 NTC196654:NTC196660 OCY196654:OCY196660 OMU196654:OMU196660 OWQ196654:OWQ196660 PGM196654:PGM196660 PQI196654:PQI196660 QAE196654:QAE196660 QKA196654:QKA196660 QTW196654:QTW196660 RDS196654:RDS196660 RNO196654:RNO196660 RXK196654:RXK196660 SHG196654:SHG196660 SRC196654:SRC196660 TAY196654:TAY196660 TKU196654:TKU196660 TUQ196654:TUQ196660 UEM196654:UEM196660 UOI196654:UOI196660 UYE196654:UYE196660 VIA196654:VIA196660 VRW196654:VRW196660 WBS196654:WBS196660 WLO196654:WLO196660 WVK196654:WVK196660 F262190:F262196 IY262190:IY262196 SU262190:SU262196 ACQ262190:ACQ262196 AMM262190:AMM262196 AWI262190:AWI262196 BGE262190:BGE262196 BQA262190:BQA262196 BZW262190:BZW262196 CJS262190:CJS262196 CTO262190:CTO262196 DDK262190:DDK262196 DNG262190:DNG262196 DXC262190:DXC262196 EGY262190:EGY262196 EQU262190:EQU262196 FAQ262190:FAQ262196 FKM262190:FKM262196 FUI262190:FUI262196 GEE262190:GEE262196 GOA262190:GOA262196 GXW262190:GXW262196 HHS262190:HHS262196 HRO262190:HRO262196 IBK262190:IBK262196 ILG262190:ILG262196 IVC262190:IVC262196 JEY262190:JEY262196 JOU262190:JOU262196 JYQ262190:JYQ262196 KIM262190:KIM262196 KSI262190:KSI262196 LCE262190:LCE262196 LMA262190:LMA262196 LVW262190:LVW262196 MFS262190:MFS262196 MPO262190:MPO262196 MZK262190:MZK262196 NJG262190:NJG262196 NTC262190:NTC262196 OCY262190:OCY262196 OMU262190:OMU262196 OWQ262190:OWQ262196 PGM262190:PGM262196 PQI262190:PQI262196 QAE262190:QAE262196 QKA262190:QKA262196 QTW262190:QTW262196 RDS262190:RDS262196 RNO262190:RNO262196 RXK262190:RXK262196 SHG262190:SHG262196 SRC262190:SRC262196 TAY262190:TAY262196 TKU262190:TKU262196 TUQ262190:TUQ262196 UEM262190:UEM262196 UOI262190:UOI262196 UYE262190:UYE262196 VIA262190:VIA262196 VRW262190:VRW262196 WBS262190:WBS262196 WLO262190:WLO262196 WVK262190:WVK262196 F327726:F327732 IY327726:IY327732 SU327726:SU327732 ACQ327726:ACQ327732 AMM327726:AMM327732 AWI327726:AWI327732 BGE327726:BGE327732 BQA327726:BQA327732 BZW327726:BZW327732 CJS327726:CJS327732 CTO327726:CTO327732 DDK327726:DDK327732 DNG327726:DNG327732 DXC327726:DXC327732 EGY327726:EGY327732 EQU327726:EQU327732 FAQ327726:FAQ327732 FKM327726:FKM327732 FUI327726:FUI327732 GEE327726:GEE327732 GOA327726:GOA327732 GXW327726:GXW327732 HHS327726:HHS327732 HRO327726:HRO327732 IBK327726:IBK327732 ILG327726:ILG327732 IVC327726:IVC327732 JEY327726:JEY327732 JOU327726:JOU327732 JYQ327726:JYQ327732 KIM327726:KIM327732 KSI327726:KSI327732 LCE327726:LCE327732 LMA327726:LMA327732 LVW327726:LVW327732 MFS327726:MFS327732 MPO327726:MPO327732 MZK327726:MZK327732 NJG327726:NJG327732 NTC327726:NTC327732 OCY327726:OCY327732 OMU327726:OMU327732 OWQ327726:OWQ327732 PGM327726:PGM327732 PQI327726:PQI327732 QAE327726:QAE327732 QKA327726:QKA327732 QTW327726:QTW327732 RDS327726:RDS327732 RNO327726:RNO327732 RXK327726:RXK327732 SHG327726:SHG327732 SRC327726:SRC327732 TAY327726:TAY327732 TKU327726:TKU327732 TUQ327726:TUQ327732 UEM327726:UEM327732 UOI327726:UOI327732 UYE327726:UYE327732 VIA327726:VIA327732 VRW327726:VRW327732 WBS327726:WBS327732 WLO327726:WLO327732 WVK327726:WVK327732 F393262:F393268 IY393262:IY393268 SU393262:SU393268 ACQ393262:ACQ393268 AMM393262:AMM393268 AWI393262:AWI393268 BGE393262:BGE393268 BQA393262:BQA393268 BZW393262:BZW393268 CJS393262:CJS393268 CTO393262:CTO393268 DDK393262:DDK393268 DNG393262:DNG393268 DXC393262:DXC393268 EGY393262:EGY393268 EQU393262:EQU393268 FAQ393262:FAQ393268 FKM393262:FKM393268 FUI393262:FUI393268 GEE393262:GEE393268 GOA393262:GOA393268 GXW393262:GXW393268 HHS393262:HHS393268 HRO393262:HRO393268 IBK393262:IBK393268 ILG393262:ILG393268 IVC393262:IVC393268 JEY393262:JEY393268 JOU393262:JOU393268 JYQ393262:JYQ393268 KIM393262:KIM393268 KSI393262:KSI393268 LCE393262:LCE393268 LMA393262:LMA393268 LVW393262:LVW393268 MFS393262:MFS393268 MPO393262:MPO393268 MZK393262:MZK393268 NJG393262:NJG393268 NTC393262:NTC393268 OCY393262:OCY393268 OMU393262:OMU393268 OWQ393262:OWQ393268 PGM393262:PGM393268 PQI393262:PQI393268 QAE393262:QAE393268 QKA393262:QKA393268 QTW393262:QTW393268 RDS393262:RDS393268 RNO393262:RNO393268 RXK393262:RXK393268 SHG393262:SHG393268 SRC393262:SRC393268 TAY393262:TAY393268 TKU393262:TKU393268 TUQ393262:TUQ393268 UEM393262:UEM393268 UOI393262:UOI393268 UYE393262:UYE393268 VIA393262:VIA393268 VRW393262:VRW393268 WBS393262:WBS393268 WLO393262:WLO393268 WVK393262:WVK393268 F458798:F458804 IY458798:IY458804 SU458798:SU458804 ACQ458798:ACQ458804 AMM458798:AMM458804 AWI458798:AWI458804 BGE458798:BGE458804 BQA458798:BQA458804 BZW458798:BZW458804 CJS458798:CJS458804 CTO458798:CTO458804 DDK458798:DDK458804 DNG458798:DNG458804 DXC458798:DXC458804 EGY458798:EGY458804 EQU458798:EQU458804 FAQ458798:FAQ458804 FKM458798:FKM458804 FUI458798:FUI458804 GEE458798:GEE458804 GOA458798:GOA458804 GXW458798:GXW458804 HHS458798:HHS458804 HRO458798:HRO458804 IBK458798:IBK458804 ILG458798:ILG458804 IVC458798:IVC458804 JEY458798:JEY458804 JOU458798:JOU458804 JYQ458798:JYQ458804 KIM458798:KIM458804 KSI458798:KSI458804 LCE458798:LCE458804 LMA458798:LMA458804 LVW458798:LVW458804 MFS458798:MFS458804 MPO458798:MPO458804 MZK458798:MZK458804 NJG458798:NJG458804 NTC458798:NTC458804 OCY458798:OCY458804 OMU458798:OMU458804 OWQ458798:OWQ458804 PGM458798:PGM458804 PQI458798:PQI458804 QAE458798:QAE458804 QKA458798:QKA458804 QTW458798:QTW458804 RDS458798:RDS458804 RNO458798:RNO458804 RXK458798:RXK458804 SHG458798:SHG458804 SRC458798:SRC458804 TAY458798:TAY458804 TKU458798:TKU458804 TUQ458798:TUQ458804 UEM458798:UEM458804 UOI458798:UOI458804 UYE458798:UYE458804 VIA458798:VIA458804 VRW458798:VRW458804 WBS458798:WBS458804 WLO458798:WLO458804 WVK458798:WVK458804 F524334:F524340 IY524334:IY524340 SU524334:SU524340 ACQ524334:ACQ524340 AMM524334:AMM524340 AWI524334:AWI524340 BGE524334:BGE524340 BQA524334:BQA524340 BZW524334:BZW524340 CJS524334:CJS524340 CTO524334:CTO524340 DDK524334:DDK524340 DNG524334:DNG524340 DXC524334:DXC524340 EGY524334:EGY524340 EQU524334:EQU524340 FAQ524334:FAQ524340 FKM524334:FKM524340 FUI524334:FUI524340 GEE524334:GEE524340 GOA524334:GOA524340 GXW524334:GXW524340 HHS524334:HHS524340 HRO524334:HRO524340 IBK524334:IBK524340 ILG524334:ILG524340 IVC524334:IVC524340 JEY524334:JEY524340 JOU524334:JOU524340 JYQ524334:JYQ524340 KIM524334:KIM524340 KSI524334:KSI524340 LCE524334:LCE524340 LMA524334:LMA524340 LVW524334:LVW524340 MFS524334:MFS524340 MPO524334:MPO524340 MZK524334:MZK524340 NJG524334:NJG524340 NTC524334:NTC524340 OCY524334:OCY524340 OMU524334:OMU524340 OWQ524334:OWQ524340 PGM524334:PGM524340 PQI524334:PQI524340 QAE524334:QAE524340 QKA524334:QKA524340 QTW524334:QTW524340 RDS524334:RDS524340 RNO524334:RNO524340 RXK524334:RXK524340 SHG524334:SHG524340 SRC524334:SRC524340 TAY524334:TAY524340 TKU524334:TKU524340 TUQ524334:TUQ524340 UEM524334:UEM524340 UOI524334:UOI524340 UYE524334:UYE524340 VIA524334:VIA524340 VRW524334:VRW524340 WBS524334:WBS524340 WLO524334:WLO524340 WVK524334:WVK524340 F589870:F589876 IY589870:IY589876 SU589870:SU589876 ACQ589870:ACQ589876 AMM589870:AMM589876 AWI589870:AWI589876 BGE589870:BGE589876 BQA589870:BQA589876 BZW589870:BZW589876 CJS589870:CJS589876 CTO589870:CTO589876 DDK589870:DDK589876 DNG589870:DNG589876 DXC589870:DXC589876 EGY589870:EGY589876 EQU589870:EQU589876 FAQ589870:FAQ589876 FKM589870:FKM589876 FUI589870:FUI589876 GEE589870:GEE589876 GOA589870:GOA589876 GXW589870:GXW589876 HHS589870:HHS589876 HRO589870:HRO589876 IBK589870:IBK589876 ILG589870:ILG589876 IVC589870:IVC589876 JEY589870:JEY589876 JOU589870:JOU589876 JYQ589870:JYQ589876 KIM589870:KIM589876 KSI589870:KSI589876 LCE589870:LCE589876 LMA589870:LMA589876 LVW589870:LVW589876 MFS589870:MFS589876 MPO589870:MPO589876 MZK589870:MZK589876 NJG589870:NJG589876 NTC589870:NTC589876 OCY589870:OCY589876 OMU589870:OMU589876 OWQ589870:OWQ589876 PGM589870:PGM589876 PQI589870:PQI589876 QAE589870:QAE589876 QKA589870:QKA589876 QTW589870:QTW589876 RDS589870:RDS589876 RNO589870:RNO589876 RXK589870:RXK589876 SHG589870:SHG589876 SRC589870:SRC589876 TAY589870:TAY589876 TKU589870:TKU589876 TUQ589870:TUQ589876 UEM589870:UEM589876 UOI589870:UOI589876 UYE589870:UYE589876 VIA589870:VIA589876 VRW589870:VRW589876 WBS589870:WBS589876 WLO589870:WLO589876 WVK589870:WVK589876 F655406:F655412 IY655406:IY655412 SU655406:SU655412 ACQ655406:ACQ655412 AMM655406:AMM655412 AWI655406:AWI655412 BGE655406:BGE655412 BQA655406:BQA655412 BZW655406:BZW655412 CJS655406:CJS655412 CTO655406:CTO655412 DDK655406:DDK655412 DNG655406:DNG655412 DXC655406:DXC655412 EGY655406:EGY655412 EQU655406:EQU655412 FAQ655406:FAQ655412 FKM655406:FKM655412 FUI655406:FUI655412 GEE655406:GEE655412 GOA655406:GOA655412 GXW655406:GXW655412 HHS655406:HHS655412 HRO655406:HRO655412 IBK655406:IBK655412 ILG655406:ILG655412 IVC655406:IVC655412 JEY655406:JEY655412 JOU655406:JOU655412 JYQ655406:JYQ655412 KIM655406:KIM655412 KSI655406:KSI655412 LCE655406:LCE655412 LMA655406:LMA655412 LVW655406:LVW655412 MFS655406:MFS655412 MPO655406:MPO655412 MZK655406:MZK655412 NJG655406:NJG655412 NTC655406:NTC655412 OCY655406:OCY655412 OMU655406:OMU655412 OWQ655406:OWQ655412 PGM655406:PGM655412 PQI655406:PQI655412 QAE655406:QAE655412 QKA655406:QKA655412 QTW655406:QTW655412 RDS655406:RDS655412 RNO655406:RNO655412 RXK655406:RXK655412 SHG655406:SHG655412 SRC655406:SRC655412 TAY655406:TAY655412 TKU655406:TKU655412 TUQ655406:TUQ655412 UEM655406:UEM655412 UOI655406:UOI655412 UYE655406:UYE655412 VIA655406:VIA655412 VRW655406:VRW655412 WBS655406:WBS655412 WLO655406:WLO655412 WVK655406:WVK655412 F720942:F720948 IY720942:IY720948 SU720942:SU720948 ACQ720942:ACQ720948 AMM720942:AMM720948 AWI720942:AWI720948 BGE720942:BGE720948 BQA720942:BQA720948 BZW720942:BZW720948 CJS720942:CJS720948 CTO720942:CTO720948 DDK720942:DDK720948 DNG720942:DNG720948 DXC720942:DXC720948 EGY720942:EGY720948 EQU720942:EQU720948 FAQ720942:FAQ720948 FKM720942:FKM720948 FUI720942:FUI720948 GEE720942:GEE720948 GOA720942:GOA720948 GXW720942:GXW720948 HHS720942:HHS720948 HRO720942:HRO720948 IBK720942:IBK720948 ILG720942:ILG720948 IVC720942:IVC720948 JEY720942:JEY720948 JOU720942:JOU720948 JYQ720942:JYQ720948 KIM720942:KIM720948 KSI720942:KSI720948 LCE720942:LCE720948 LMA720942:LMA720948 LVW720942:LVW720948 MFS720942:MFS720948 MPO720942:MPO720948 MZK720942:MZK720948 NJG720942:NJG720948 NTC720942:NTC720948 OCY720942:OCY720948 OMU720942:OMU720948 OWQ720942:OWQ720948 PGM720942:PGM720948 PQI720942:PQI720948 QAE720942:QAE720948 QKA720942:QKA720948 QTW720942:QTW720948 RDS720942:RDS720948 RNO720942:RNO720948 RXK720942:RXK720948 SHG720942:SHG720948 SRC720942:SRC720948 TAY720942:TAY720948 TKU720942:TKU720948 TUQ720942:TUQ720948 UEM720942:UEM720948 UOI720942:UOI720948 UYE720942:UYE720948 VIA720942:VIA720948 VRW720942:VRW720948 WBS720942:WBS720948 WLO720942:WLO720948 WVK720942:WVK720948 F786478:F786484 IY786478:IY786484 SU786478:SU786484 ACQ786478:ACQ786484 AMM786478:AMM786484 AWI786478:AWI786484 BGE786478:BGE786484 BQA786478:BQA786484 BZW786478:BZW786484 CJS786478:CJS786484 CTO786478:CTO786484 DDK786478:DDK786484 DNG786478:DNG786484 DXC786478:DXC786484 EGY786478:EGY786484 EQU786478:EQU786484 FAQ786478:FAQ786484 FKM786478:FKM786484 FUI786478:FUI786484 GEE786478:GEE786484 GOA786478:GOA786484 GXW786478:GXW786484 HHS786478:HHS786484 HRO786478:HRO786484 IBK786478:IBK786484 ILG786478:ILG786484 IVC786478:IVC786484 JEY786478:JEY786484 JOU786478:JOU786484 JYQ786478:JYQ786484 KIM786478:KIM786484 KSI786478:KSI786484 LCE786478:LCE786484 LMA786478:LMA786484 LVW786478:LVW786484 MFS786478:MFS786484 MPO786478:MPO786484 MZK786478:MZK786484 NJG786478:NJG786484 NTC786478:NTC786484 OCY786478:OCY786484 OMU786478:OMU786484 OWQ786478:OWQ786484 PGM786478:PGM786484 PQI786478:PQI786484 QAE786478:QAE786484 QKA786478:QKA786484 QTW786478:QTW786484 RDS786478:RDS786484 RNO786478:RNO786484 RXK786478:RXK786484 SHG786478:SHG786484 SRC786478:SRC786484 TAY786478:TAY786484 TKU786478:TKU786484 TUQ786478:TUQ786484 UEM786478:UEM786484 UOI786478:UOI786484 UYE786478:UYE786484 VIA786478:VIA786484 VRW786478:VRW786484 WBS786478:WBS786484 WLO786478:WLO786484 WVK786478:WVK786484 F852014:F852020 IY852014:IY852020 SU852014:SU852020 ACQ852014:ACQ852020 AMM852014:AMM852020 AWI852014:AWI852020 BGE852014:BGE852020 BQA852014:BQA852020 BZW852014:BZW852020 CJS852014:CJS852020 CTO852014:CTO852020 DDK852014:DDK852020 DNG852014:DNG852020 DXC852014:DXC852020 EGY852014:EGY852020 EQU852014:EQU852020 FAQ852014:FAQ852020 FKM852014:FKM852020 FUI852014:FUI852020 GEE852014:GEE852020 GOA852014:GOA852020 GXW852014:GXW852020 HHS852014:HHS852020 HRO852014:HRO852020 IBK852014:IBK852020 ILG852014:ILG852020 IVC852014:IVC852020 JEY852014:JEY852020 JOU852014:JOU852020 JYQ852014:JYQ852020 KIM852014:KIM852020 KSI852014:KSI852020 LCE852014:LCE852020 LMA852014:LMA852020 LVW852014:LVW852020 MFS852014:MFS852020 MPO852014:MPO852020 MZK852014:MZK852020 NJG852014:NJG852020 NTC852014:NTC852020 OCY852014:OCY852020 OMU852014:OMU852020 OWQ852014:OWQ852020 PGM852014:PGM852020 PQI852014:PQI852020 QAE852014:QAE852020 QKA852014:QKA852020 QTW852014:QTW852020 RDS852014:RDS852020 RNO852014:RNO852020 RXK852014:RXK852020 SHG852014:SHG852020 SRC852014:SRC852020 TAY852014:TAY852020 TKU852014:TKU852020 TUQ852014:TUQ852020 UEM852014:UEM852020 UOI852014:UOI852020 UYE852014:UYE852020 VIA852014:VIA852020 VRW852014:VRW852020 WBS852014:WBS852020 WLO852014:WLO852020 WVK852014:WVK852020 F917550:F917556 IY917550:IY917556 SU917550:SU917556 ACQ917550:ACQ917556 AMM917550:AMM917556 AWI917550:AWI917556 BGE917550:BGE917556 BQA917550:BQA917556 BZW917550:BZW917556 CJS917550:CJS917556 CTO917550:CTO917556 DDK917550:DDK917556 DNG917550:DNG917556 DXC917550:DXC917556 EGY917550:EGY917556 EQU917550:EQU917556 FAQ917550:FAQ917556 FKM917550:FKM917556 FUI917550:FUI917556 GEE917550:GEE917556 GOA917550:GOA917556 GXW917550:GXW917556 HHS917550:HHS917556 HRO917550:HRO917556 IBK917550:IBK917556 ILG917550:ILG917556 IVC917550:IVC917556 JEY917550:JEY917556 JOU917550:JOU917556 JYQ917550:JYQ917556 KIM917550:KIM917556 KSI917550:KSI917556 LCE917550:LCE917556 LMA917550:LMA917556 LVW917550:LVW917556 MFS917550:MFS917556 MPO917550:MPO917556 MZK917550:MZK917556 NJG917550:NJG917556 NTC917550:NTC917556 OCY917550:OCY917556 OMU917550:OMU917556 OWQ917550:OWQ917556 PGM917550:PGM917556 PQI917550:PQI917556 QAE917550:QAE917556 QKA917550:QKA917556 QTW917550:QTW917556 RDS917550:RDS917556 RNO917550:RNO917556 RXK917550:RXK917556 SHG917550:SHG917556 SRC917550:SRC917556 TAY917550:TAY917556 TKU917550:TKU917556 TUQ917550:TUQ917556 UEM917550:UEM917556 UOI917550:UOI917556 UYE917550:UYE917556 VIA917550:VIA917556 VRW917550:VRW917556 WBS917550:WBS917556 WLO917550:WLO917556 WVK917550:WVK917556 F983086:F983092 IY983086:IY983092 SU983086:SU983092 ACQ983086:ACQ983092 AMM983086:AMM983092 AWI983086:AWI983092 BGE983086:BGE983092 BQA983086:BQA983092 BZW983086:BZW983092 CJS983086:CJS983092 CTO983086:CTO983092 DDK983086:DDK983092 DNG983086:DNG983092 DXC983086:DXC983092 EGY983086:EGY983092 EQU983086:EQU983092 FAQ983086:FAQ983092 FKM983086:FKM983092 FUI983086:FUI983092 GEE983086:GEE983092 GOA983086:GOA983092 GXW983086:GXW983092 HHS983086:HHS983092 HRO983086:HRO983092 IBK983086:IBK983092 ILG983086:ILG983092 IVC983086:IVC983092 JEY983086:JEY983092 JOU983086:JOU983092 JYQ983086:JYQ983092 KIM983086:KIM983092 KSI983086:KSI983092 LCE983086:LCE983092 LMA983086:LMA983092 LVW983086:LVW983092 MFS983086:MFS983092 MPO983086:MPO983092 MZK983086:MZK983092 NJG983086:NJG983092 NTC983086:NTC983092 OCY983086:OCY983092 OMU983086:OMU983092 OWQ983086:OWQ983092 PGM983086:PGM983092 PQI983086:PQI983092 QAE983086:QAE983092 QKA983086:QKA983092 QTW983086:QTW983092 RDS983086:RDS983092 RNO983086:RNO983092 RXK983086:RXK983092 SHG983086:SHG983092 SRC983086:SRC983092 TAY983086:TAY983092 TKU983086:TKU983092 TUQ983086:TUQ983092 UEM983086:UEM983092 UOI983086:UOI983092 UYE983086:UYE983092 VIA983086:VIA983092 VRW983086:VRW983092 WBS983086:WBS983092 WLO983086:WLO983092 WVK983086:WVK983092 I33:I44 IW59:IW67 SS59:SS67 ACO59:ACO67 AMK59:AMK67 AWG59:AWG67 BGC59:BGC67 BPY59:BPY67 BZU59:BZU67 CJQ59:CJQ67 CTM59:CTM67 DDI59:DDI67 DNE59:DNE67 DXA59:DXA67 EGW59:EGW67 EQS59:EQS67 FAO59:FAO67 FKK59:FKK67 FUG59:FUG67 GEC59:GEC67 GNY59:GNY67 GXU59:GXU67 HHQ59:HHQ67 HRM59:HRM67 IBI59:IBI67 ILE59:ILE67 IVA59:IVA67 JEW59:JEW67 JOS59:JOS67 JYO59:JYO67 KIK59:KIK67 KSG59:KSG67 LCC59:LCC67 LLY59:LLY67 LVU59:LVU67 MFQ59:MFQ67 MPM59:MPM67 MZI59:MZI67 NJE59:NJE67 NTA59:NTA67 OCW59:OCW67 OMS59:OMS67 OWO59:OWO67 PGK59:PGK67 PQG59:PQG67 QAC59:QAC67 QJY59:QJY67 QTU59:QTU67 RDQ59:RDQ67 RNM59:RNM67 RXI59:RXI67 SHE59:SHE67 SRA59:SRA67 TAW59:TAW67 TKS59:TKS67 TUO59:TUO67 UEK59:UEK67 UOG59:UOG67 UYC59:UYC67 VHY59:VHY67 VRU59:VRU67 WBQ59:WBQ67 WLM59:WLM67 WVI59:WVI67 D65591:D65599 IW65591:IW65599 SS65591:SS65599 ACO65591:ACO65599 AMK65591:AMK65599 AWG65591:AWG65599 BGC65591:BGC65599 BPY65591:BPY65599 BZU65591:BZU65599 CJQ65591:CJQ65599 CTM65591:CTM65599 DDI65591:DDI65599 DNE65591:DNE65599 DXA65591:DXA65599 EGW65591:EGW65599 EQS65591:EQS65599 FAO65591:FAO65599 FKK65591:FKK65599 FUG65591:FUG65599 GEC65591:GEC65599 GNY65591:GNY65599 GXU65591:GXU65599 HHQ65591:HHQ65599 HRM65591:HRM65599 IBI65591:IBI65599 ILE65591:ILE65599 IVA65591:IVA65599 JEW65591:JEW65599 JOS65591:JOS65599 JYO65591:JYO65599 KIK65591:KIK65599 KSG65591:KSG65599 LCC65591:LCC65599 LLY65591:LLY65599 LVU65591:LVU65599 MFQ65591:MFQ65599 MPM65591:MPM65599 MZI65591:MZI65599 NJE65591:NJE65599 NTA65591:NTA65599 OCW65591:OCW65599 OMS65591:OMS65599 OWO65591:OWO65599 PGK65591:PGK65599 PQG65591:PQG65599 QAC65591:QAC65599 QJY65591:QJY65599 QTU65591:QTU65599 RDQ65591:RDQ65599 RNM65591:RNM65599 RXI65591:RXI65599 SHE65591:SHE65599 SRA65591:SRA65599 TAW65591:TAW65599 TKS65591:TKS65599 TUO65591:TUO65599 UEK65591:UEK65599 UOG65591:UOG65599 UYC65591:UYC65599 VHY65591:VHY65599 VRU65591:VRU65599 WBQ65591:WBQ65599 WLM65591:WLM65599 WVI65591:WVI65599 D131127:D131135 IW131127:IW131135 SS131127:SS131135 ACO131127:ACO131135 AMK131127:AMK131135 AWG131127:AWG131135 BGC131127:BGC131135 BPY131127:BPY131135 BZU131127:BZU131135 CJQ131127:CJQ131135 CTM131127:CTM131135 DDI131127:DDI131135 DNE131127:DNE131135 DXA131127:DXA131135 EGW131127:EGW131135 EQS131127:EQS131135 FAO131127:FAO131135 FKK131127:FKK131135 FUG131127:FUG131135 GEC131127:GEC131135 GNY131127:GNY131135 GXU131127:GXU131135 HHQ131127:HHQ131135 HRM131127:HRM131135 IBI131127:IBI131135 ILE131127:ILE131135 IVA131127:IVA131135 JEW131127:JEW131135 JOS131127:JOS131135 JYO131127:JYO131135 KIK131127:KIK131135 KSG131127:KSG131135 LCC131127:LCC131135 LLY131127:LLY131135 LVU131127:LVU131135 MFQ131127:MFQ131135 MPM131127:MPM131135 MZI131127:MZI131135 NJE131127:NJE131135 NTA131127:NTA131135 OCW131127:OCW131135 OMS131127:OMS131135 OWO131127:OWO131135 PGK131127:PGK131135 PQG131127:PQG131135 QAC131127:QAC131135 QJY131127:QJY131135 QTU131127:QTU131135 RDQ131127:RDQ131135 RNM131127:RNM131135 RXI131127:RXI131135 SHE131127:SHE131135 SRA131127:SRA131135 TAW131127:TAW131135 TKS131127:TKS131135 TUO131127:TUO131135 UEK131127:UEK131135 UOG131127:UOG131135 UYC131127:UYC131135 VHY131127:VHY131135 VRU131127:VRU131135 WBQ131127:WBQ131135 WLM131127:WLM131135 WVI131127:WVI131135 D196663:D196671 IW196663:IW196671 SS196663:SS196671 ACO196663:ACO196671 AMK196663:AMK196671 AWG196663:AWG196671 BGC196663:BGC196671 BPY196663:BPY196671 BZU196663:BZU196671 CJQ196663:CJQ196671 CTM196663:CTM196671 DDI196663:DDI196671 DNE196663:DNE196671 DXA196663:DXA196671 EGW196663:EGW196671 EQS196663:EQS196671 FAO196663:FAO196671 FKK196663:FKK196671 FUG196663:FUG196671 GEC196663:GEC196671 GNY196663:GNY196671 GXU196663:GXU196671 HHQ196663:HHQ196671 HRM196663:HRM196671 IBI196663:IBI196671 ILE196663:ILE196671 IVA196663:IVA196671 JEW196663:JEW196671 JOS196663:JOS196671 JYO196663:JYO196671 KIK196663:KIK196671 KSG196663:KSG196671 LCC196663:LCC196671 LLY196663:LLY196671 LVU196663:LVU196671 MFQ196663:MFQ196671 MPM196663:MPM196671 MZI196663:MZI196671 NJE196663:NJE196671 NTA196663:NTA196671 OCW196663:OCW196671 OMS196663:OMS196671 OWO196663:OWO196671 PGK196663:PGK196671 PQG196663:PQG196671 QAC196663:QAC196671 QJY196663:QJY196671 QTU196663:QTU196671 RDQ196663:RDQ196671 RNM196663:RNM196671 RXI196663:RXI196671 SHE196663:SHE196671 SRA196663:SRA196671 TAW196663:TAW196671 TKS196663:TKS196671 TUO196663:TUO196671 UEK196663:UEK196671 UOG196663:UOG196671 UYC196663:UYC196671 VHY196663:VHY196671 VRU196663:VRU196671 WBQ196663:WBQ196671 WLM196663:WLM196671 WVI196663:WVI196671 D262199:D262207 IW262199:IW262207 SS262199:SS262207 ACO262199:ACO262207 AMK262199:AMK262207 AWG262199:AWG262207 BGC262199:BGC262207 BPY262199:BPY262207 BZU262199:BZU262207 CJQ262199:CJQ262207 CTM262199:CTM262207 DDI262199:DDI262207 DNE262199:DNE262207 DXA262199:DXA262207 EGW262199:EGW262207 EQS262199:EQS262207 FAO262199:FAO262207 FKK262199:FKK262207 FUG262199:FUG262207 GEC262199:GEC262207 GNY262199:GNY262207 GXU262199:GXU262207 HHQ262199:HHQ262207 HRM262199:HRM262207 IBI262199:IBI262207 ILE262199:ILE262207 IVA262199:IVA262207 JEW262199:JEW262207 JOS262199:JOS262207 JYO262199:JYO262207 KIK262199:KIK262207 KSG262199:KSG262207 LCC262199:LCC262207 LLY262199:LLY262207 LVU262199:LVU262207 MFQ262199:MFQ262207 MPM262199:MPM262207 MZI262199:MZI262207 NJE262199:NJE262207 NTA262199:NTA262207 OCW262199:OCW262207 OMS262199:OMS262207 OWO262199:OWO262207 PGK262199:PGK262207 PQG262199:PQG262207 QAC262199:QAC262207 QJY262199:QJY262207 QTU262199:QTU262207 RDQ262199:RDQ262207 RNM262199:RNM262207 RXI262199:RXI262207 SHE262199:SHE262207 SRA262199:SRA262207 TAW262199:TAW262207 TKS262199:TKS262207 TUO262199:TUO262207 UEK262199:UEK262207 UOG262199:UOG262207 UYC262199:UYC262207 VHY262199:VHY262207 VRU262199:VRU262207 WBQ262199:WBQ262207 WLM262199:WLM262207 WVI262199:WVI262207 D327735:D327743 IW327735:IW327743 SS327735:SS327743 ACO327735:ACO327743 AMK327735:AMK327743 AWG327735:AWG327743 BGC327735:BGC327743 BPY327735:BPY327743 BZU327735:BZU327743 CJQ327735:CJQ327743 CTM327735:CTM327743 DDI327735:DDI327743 DNE327735:DNE327743 DXA327735:DXA327743 EGW327735:EGW327743 EQS327735:EQS327743 FAO327735:FAO327743 FKK327735:FKK327743 FUG327735:FUG327743 GEC327735:GEC327743 GNY327735:GNY327743 GXU327735:GXU327743 HHQ327735:HHQ327743 HRM327735:HRM327743 IBI327735:IBI327743 ILE327735:ILE327743 IVA327735:IVA327743 JEW327735:JEW327743 JOS327735:JOS327743 JYO327735:JYO327743 KIK327735:KIK327743 KSG327735:KSG327743 LCC327735:LCC327743 LLY327735:LLY327743 LVU327735:LVU327743 MFQ327735:MFQ327743 MPM327735:MPM327743 MZI327735:MZI327743 NJE327735:NJE327743 NTA327735:NTA327743 OCW327735:OCW327743 OMS327735:OMS327743 OWO327735:OWO327743 PGK327735:PGK327743 PQG327735:PQG327743 QAC327735:QAC327743 QJY327735:QJY327743 QTU327735:QTU327743 RDQ327735:RDQ327743 RNM327735:RNM327743 RXI327735:RXI327743 SHE327735:SHE327743 SRA327735:SRA327743 TAW327735:TAW327743 TKS327735:TKS327743 TUO327735:TUO327743 UEK327735:UEK327743 UOG327735:UOG327743 UYC327735:UYC327743 VHY327735:VHY327743 VRU327735:VRU327743 WBQ327735:WBQ327743 WLM327735:WLM327743 WVI327735:WVI327743 D393271:D393279 IW393271:IW393279 SS393271:SS393279 ACO393271:ACO393279 AMK393271:AMK393279 AWG393271:AWG393279 BGC393271:BGC393279 BPY393271:BPY393279 BZU393271:BZU393279 CJQ393271:CJQ393279 CTM393271:CTM393279 DDI393271:DDI393279 DNE393271:DNE393279 DXA393271:DXA393279 EGW393271:EGW393279 EQS393271:EQS393279 FAO393271:FAO393279 FKK393271:FKK393279 FUG393271:FUG393279 GEC393271:GEC393279 GNY393271:GNY393279 GXU393271:GXU393279 HHQ393271:HHQ393279 HRM393271:HRM393279 IBI393271:IBI393279 ILE393271:ILE393279 IVA393271:IVA393279 JEW393271:JEW393279 JOS393271:JOS393279 JYO393271:JYO393279 KIK393271:KIK393279 KSG393271:KSG393279 LCC393271:LCC393279 LLY393271:LLY393279 LVU393271:LVU393279 MFQ393271:MFQ393279 MPM393271:MPM393279 MZI393271:MZI393279 NJE393271:NJE393279 NTA393271:NTA393279 OCW393271:OCW393279 OMS393271:OMS393279 OWO393271:OWO393279 PGK393271:PGK393279 PQG393271:PQG393279 QAC393271:QAC393279 QJY393271:QJY393279 QTU393271:QTU393279 RDQ393271:RDQ393279 RNM393271:RNM393279 RXI393271:RXI393279 SHE393271:SHE393279 SRA393271:SRA393279 TAW393271:TAW393279 TKS393271:TKS393279 TUO393271:TUO393279 UEK393271:UEK393279 UOG393271:UOG393279 UYC393271:UYC393279 VHY393271:VHY393279 VRU393271:VRU393279 WBQ393271:WBQ393279 WLM393271:WLM393279 WVI393271:WVI393279 D458807:D458815 IW458807:IW458815 SS458807:SS458815 ACO458807:ACO458815 AMK458807:AMK458815 AWG458807:AWG458815 BGC458807:BGC458815 BPY458807:BPY458815 BZU458807:BZU458815 CJQ458807:CJQ458815 CTM458807:CTM458815 DDI458807:DDI458815 DNE458807:DNE458815 DXA458807:DXA458815 EGW458807:EGW458815 EQS458807:EQS458815 FAO458807:FAO458815 FKK458807:FKK458815 FUG458807:FUG458815 GEC458807:GEC458815 GNY458807:GNY458815 GXU458807:GXU458815 HHQ458807:HHQ458815 HRM458807:HRM458815 IBI458807:IBI458815 ILE458807:ILE458815 IVA458807:IVA458815 JEW458807:JEW458815 JOS458807:JOS458815 JYO458807:JYO458815 KIK458807:KIK458815 KSG458807:KSG458815 LCC458807:LCC458815 LLY458807:LLY458815 LVU458807:LVU458815 MFQ458807:MFQ458815 MPM458807:MPM458815 MZI458807:MZI458815 NJE458807:NJE458815 NTA458807:NTA458815 OCW458807:OCW458815 OMS458807:OMS458815 OWO458807:OWO458815 PGK458807:PGK458815 PQG458807:PQG458815 QAC458807:QAC458815 QJY458807:QJY458815 QTU458807:QTU458815 RDQ458807:RDQ458815 RNM458807:RNM458815 RXI458807:RXI458815 SHE458807:SHE458815 SRA458807:SRA458815 TAW458807:TAW458815 TKS458807:TKS458815 TUO458807:TUO458815 UEK458807:UEK458815 UOG458807:UOG458815 UYC458807:UYC458815 VHY458807:VHY458815 VRU458807:VRU458815 WBQ458807:WBQ458815 WLM458807:WLM458815 WVI458807:WVI458815 D524343:D524351 IW524343:IW524351 SS524343:SS524351 ACO524343:ACO524351 AMK524343:AMK524351 AWG524343:AWG524351 BGC524343:BGC524351 BPY524343:BPY524351 BZU524343:BZU524351 CJQ524343:CJQ524351 CTM524343:CTM524351 DDI524343:DDI524351 DNE524343:DNE524351 DXA524343:DXA524351 EGW524343:EGW524351 EQS524343:EQS524351 FAO524343:FAO524351 FKK524343:FKK524351 FUG524343:FUG524351 GEC524343:GEC524351 GNY524343:GNY524351 GXU524343:GXU524351 HHQ524343:HHQ524351 HRM524343:HRM524351 IBI524343:IBI524351 ILE524343:ILE524351 IVA524343:IVA524351 JEW524343:JEW524351 JOS524343:JOS524351 JYO524343:JYO524351 KIK524343:KIK524351 KSG524343:KSG524351 LCC524343:LCC524351 LLY524343:LLY524351 LVU524343:LVU524351 MFQ524343:MFQ524351 MPM524343:MPM524351 MZI524343:MZI524351 NJE524343:NJE524351 NTA524343:NTA524351 OCW524343:OCW524351 OMS524343:OMS524351 OWO524343:OWO524351 PGK524343:PGK524351 PQG524343:PQG524351 QAC524343:QAC524351 QJY524343:QJY524351 QTU524343:QTU524351 RDQ524343:RDQ524351 RNM524343:RNM524351 RXI524343:RXI524351 SHE524343:SHE524351 SRA524343:SRA524351 TAW524343:TAW524351 TKS524343:TKS524351 TUO524343:TUO524351 UEK524343:UEK524351 UOG524343:UOG524351 UYC524343:UYC524351 VHY524343:VHY524351 VRU524343:VRU524351 WBQ524343:WBQ524351 WLM524343:WLM524351 WVI524343:WVI524351 D589879:D589887 IW589879:IW589887 SS589879:SS589887 ACO589879:ACO589887 AMK589879:AMK589887 AWG589879:AWG589887 BGC589879:BGC589887 BPY589879:BPY589887 BZU589879:BZU589887 CJQ589879:CJQ589887 CTM589879:CTM589887 DDI589879:DDI589887 DNE589879:DNE589887 DXA589879:DXA589887 EGW589879:EGW589887 EQS589879:EQS589887 FAO589879:FAO589887 FKK589879:FKK589887 FUG589879:FUG589887 GEC589879:GEC589887 GNY589879:GNY589887 GXU589879:GXU589887 HHQ589879:HHQ589887 HRM589879:HRM589887 IBI589879:IBI589887 ILE589879:ILE589887 IVA589879:IVA589887 JEW589879:JEW589887 JOS589879:JOS589887 JYO589879:JYO589887 KIK589879:KIK589887 KSG589879:KSG589887 LCC589879:LCC589887 LLY589879:LLY589887 LVU589879:LVU589887 MFQ589879:MFQ589887 MPM589879:MPM589887 MZI589879:MZI589887 NJE589879:NJE589887 NTA589879:NTA589887 OCW589879:OCW589887 OMS589879:OMS589887 OWO589879:OWO589887 PGK589879:PGK589887 PQG589879:PQG589887 QAC589879:QAC589887 QJY589879:QJY589887 QTU589879:QTU589887 RDQ589879:RDQ589887 RNM589879:RNM589887 RXI589879:RXI589887 SHE589879:SHE589887 SRA589879:SRA589887 TAW589879:TAW589887 TKS589879:TKS589887 TUO589879:TUO589887 UEK589879:UEK589887 UOG589879:UOG589887 UYC589879:UYC589887 VHY589879:VHY589887 VRU589879:VRU589887 WBQ589879:WBQ589887 WLM589879:WLM589887 WVI589879:WVI589887 D655415:D655423 IW655415:IW655423 SS655415:SS655423 ACO655415:ACO655423 AMK655415:AMK655423 AWG655415:AWG655423 BGC655415:BGC655423 BPY655415:BPY655423 BZU655415:BZU655423 CJQ655415:CJQ655423 CTM655415:CTM655423 DDI655415:DDI655423 DNE655415:DNE655423 DXA655415:DXA655423 EGW655415:EGW655423 EQS655415:EQS655423 FAO655415:FAO655423 FKK655415:FKK655423 FUG655415:FUG655423 GEC655415:GEC655423 GNY655415:GNY655423 GXU655415:GXU655423 HHQ655415:HHQ655423 HRM655415:HRM655423 IBI655415:IBI655423 ILE655415:ILE655423 IVA655415:IVA655423 JEW655415:JEW655423 JOS655415:JOS655423 JYO655415:JYO655423 KIK655415:KIK655423 KSG655415:KSG655423 LCC655415:LCC655423 LLY655415:LLY655423 LVU655415:LVU655423 MFQ655415:MFQ655423 MPM655415:MPM655423 MZI655415:MZI655423 NJE655415:NJE655423 NTA655415:NTA655423 OCW655415:OCW655423 OMS655415:OMS655423 OWO655415:OWO655423 PGK655415:PGK655423 PQG655415:PQG655423 QAC655415:QAC655423 QJY655415:QJY655423 QTU655415:QTU655423 RDQ655415:RDQ655423 RNM655415:RNM655423 RXI655415:RXI655423 SHE655415:SHE655423 SRA655415:SRA655423 TAW655415:TAW655423 TKS655415:TKS655423 TUO655415:TUO655423 UEK655415:UEK655423 UOG655415:UOG655423 UYC655415:UYC655423 VHY655415:VHY655423 VRU655415:VRU655423 WBQ655415:WBQ655423 WLM655415:WLM655423 WVI655415:WVI655423 D720951:D720959 IW720951:IW720959 SS720951:SS720959 ACO720951:ACO720959 AMK720951:AMK720959 AWG720951:AWG720959 BGC720951:BGC720959 BPY720951:BPY720959 BZU720951:BZU720959 CJQ720951:CJQ720959 CTM720951:CTM720959 DDI720951:DDI720959 DNE720951:DNE720959 DXA720951:DXA720959 EGW720951:EGW720959 EQS720951:EQS720959 FAO720951:FAO720959 FKK720951:FKK720959 FUG720951:FUG720959 GEC720951:GEC720959 GNY720951:GNY720959 GXU720951:GXU720959 HHQ720951:HHQ720959 HRM720951:HRM720959 IBI720951:IBI720959 ILE720951:ILE720959 IVA720951:IVA720959 JEW720951:JEW720959 JOS720951:JOS720959 JYO720951:JYO720959 KIK720951:KIK720959 KSG720951:KSG720959 LCC720951:LCC720959 LLY720951:LLY720959 LVU720951:LVU720959 MFQ720951:MFQ720959 MPM720951:MPM720959 MZI720951:MZI720959 NJE720951:NJE720959 NTA720951:NTA720959 OCW720951:OCW720959 OMS720951:OMS720959 OWO720951:OWO720959 PGK720951:PGK720959 PQG720951:PQG720959 QAC720951:QAC720959 QJY720951:QJY720959 QTU720951:QTU720959 RDQ720951:RDQ720959 RNM720951:RNM720959 RXI720951:RXI720959 SHE720951:SHE720959 SRA720951:SRA720959 TAW720951:TAW720959 TKS720951:TKS720959 TUO720951:TUO720959 UEK720951:UEK720959 UOG720951:UOG720959 UYC720951:UYC720959 VHY720951:VHY720959 VRU720951:VRU720959 WBQ720951:WBQ720959 WLM720951:WLM720959 WVI720951:WVI720959 D786487:D786495 IW786487:IW786495 SS786487:SS786495 ACO786487:ACO786495 AMK786487:AMK786495 AWG786487:AWG786495 BGC786487:BGC786495 BPY786487:BPY786495 BZU786487:BZU786495 CJQ786487:CJQ786495 CTM786487:CTM786495 DDI786487:DDI786495 DNE786487:DNE786495 DXA786487:DXA786495 EGW786487:EGW786495 EQS786487:EQS786495 FAO786487:FAO786495 FKK786487:FKK786495 FUG786487:FUG786495 GEC786487:GEC786495 GNY786487:GNY786495 GXU786487:GXU786495 HHQ786487:HHQ786495 HRM786487:HRM786495 IBI786487:IBI786495 ILE786487:ILE786495 IVA786487:IVA786495 JEW786487:JEW786495 JOS786487:JOS786495 JYO786487:JYO786495 KIK786487:KIK786495 KSG786487:KSG786495 LCC786487:LCC786495 LLY786487:LLY786495 LVU786487:LVU786495 MFQ786487:MFQ786495 MPM786487:MPM786495 MZI786487:MZI786495 NJE786487:NJE786495 NTA786487:NTA786495 OCW786487:OCW786495 OMS786487:OMS786495 OWO786487:OWO786495 PGK786487:PGK786495 PQG786487:PQG786495 QAC786487:QAC786495 QJY786487:QJY786495 QTU786487:QTU786495 RDQ786487:RDQ786495 RNM786487:RNM786495 RXI786487:RXI786495 SHE786487:SHE786495 SRA786487:SRA786495 TAW786487:TAW786495 TKS786487:TKS786495 TUO786487:TUO786495 UEK786487:UEK786495 UOG786487:UOG786495 UYC786487:UYC786495 VHY786487:VHY786495 VRU786487:VRU786495 WBQ786487:WBQ786495 WLM786487:WLM786495 WVI786487:WVI786495 D852023:D852031 IW852023:IW852031 SS852023:SS852031 ACO852023:ACO852031 AMK852023:AMK852031 AWG852023:AWG852031 BGC852023:BGC852031 BPY852023:BPY852031 BZU852023:BZU852031 CJQ852023:CJQ852031 CTM852023:CTM852031 DDI852023:DDI852031 DNE852023:DNE852031 DXA852023:DXA852031 EGW852023:EGW852031 EQS852023:EQS852031 FAO852023:FAO852031 FKK852023:FKK852031 FUG852023:FUG852031 GEC852023:GEC852031 GNY852023:GNY852031 GXU852023:GXU852031 HHQ852023:HHQ852031 HRM852023:HRM852031 IBI852023:IBI852031 ILE852023:ILE852031 IVA852023:IVA852031 JEW852023:JEW852031 JOS852023:JOS852031 JYO852023:JYO852031 KIK852023:KIK852031 KSG852023:KSG852031 LCC852023:LCC852031 LLY852023:LLY852031 LVU852023:LVU852031 MFQ852023:MFQ852031 MPM852023:MPM852031 MZI852023:MZI852031 NJE852023:NJE852031 NTA852023:NTA852031 OCW852023:OCW852031 OMS852023:OMS852031 OWO852023:OWO852031 PGK852023:PGK852031 PQG852023:PQG852031 QAC852023:QAC852031 QJY852023:QJY852031 QTU852023:QTU852031 RDQ852023:RDQ852031 RNM852023:RNM852031 RXI852023:RXI852031 SHE852023:SHE852031 SRA852023:SRA852031 TAW852023:TAW852031 TKS852023:TKS852031 TUO852023:TUO852031 UEK852023:UEK852031 UOG852023:UOG852031 UYC852023:UYC852031 VHY852023:VHY852031 VRU852023:VRU852031 WBQ852023:WBQ852031 WLM852023:WLM852031 WVI852023:WVI852031 D917559:D917567 IW917559:IW917567 SS917559:SS917567 ACO917559:ACO917567 AMK917559:AMK917567 AWG917559:AWG917567 BGC917559:BGC917567 BPY917559:BPY917567 BZU917559:BZU917567 CJQ917559:CJQ917567 CTM917559:CTM917567 DDI917559:DDI917567 DNE917559:DNE917567 DXA917559:DXA917567 EGW917559:EGW917567 EQS917559:EQS917567 FAO917559:FAO917567 FKK917559:FKK917567 FUG917559:FUG917567 GEC917559:GEC917567 GNY917559:GNY917567 GXU917559:GXU917567 HHQ917559:HHQ917567 HRM917559:HRM917567 IBI917559:IBI917567 ILE917559:ILE917567 IVA917559:IVA917567 JEW917559:JEW917567 JOS917559:JOS917567 JYO917559:JYO917567 KIK917559:KIK917567 KSG917559:KSG917567 LCC917559:LCC917567 LLY917559:LLY917567 LVU917559:LVU917567 MFQ917559:MFQ917567 MPM917559:MPM917567 MZI917559:MZI917567 NJE917559:NJE917567 NTA917559:NTA917567 OCW917559:OCW917567 OMS917559:OMS917567 OWO917559:OWO917567 PGK917559:PGK917567 PQG917559:PQG917567 QAC917559:QAC917567 QJY917559:QJY917567 QTU917559:QTU917567 RDQ917559:RDQ917567 RNM917559:RNM917567 RXI917559:RXI917567 SHE917559:SHE917567 SRA917559:SRA917567 TAW917559:TAW917567 TKS917559:TKS917567 TUO917559:TUO917567 UEK917559:UEK917567 UOG917559:UOG917567 UYC917559:UYC917567 VHY917559:VHY917567 VRU917559:VRU917567 WBQ917559:WBQ917567 WLM917559:WLM917567 WVI917559:WVI917567 D983095:D983103 IW983095:IW983103 SS983095:SS983103 ACO983095:ACO983103 AMK983095:AMK983103 AWG983095:AWG983103 BGC983095:BGC983103 BPY983095:BPY983103 BZU983095:BZU983103 CJQ983095:CJQ983103 CTM983095:CTM983103 DDI983095:DDI983103 DNE983095:DNE983103 DXA983095:DXA983103 EGW983095:EGW983103 EQS983095:EQS983103 FAO983095:FAO983103 FKK983095:FKK983103 FUG983095:FUG983103 GEC983095:GEC983103 GNY983095:GNY983103 GXU983095:GXU983103 HHQ983095:HHQ983103 HRM983095:HRM983103 IBI983095:IBI983103 ILE983095:ILE983103 IVA983095:IVA983103 JEW983095:JEW983103 JOS983095:JOS983103 JYO983095:JYO983103 KIK983095:KIK983103 KSG983095:KSG983103 LCC983095:LCC983103 LLY983095:LLY983103 LVU983095:LVU983103 MFQ983095:MFQ983103 MPM983095:MPM983103 MZI983095:MZI983103 NJE983095:NJE983103 NTA983095:NTA983103 OCW983095:OCW983103 OMS983095:OMS983103 OWO983095:OWO983103 PGK983095:PGK983103 PQG983095:PQG983103 QAC983095:QAC983103 QJY983095:QJY983103 QTU983095:QTU983103 RDQ983095:RDQ983103 RNM983095:RNM983103 RXI983095:RXI983103 SHE983095:SHE983103 SRA983095:SRA983103 TAW983095:TAW983103 TKS983095:TKS983103 TUO983095:TUO983103 UEK983095:UEK983103 UOG983095:UOG983103 UYC983095:UYC983103 VHY983095:VHY983103 VRU983095:VRU983103 WBQ983095:WBQ983103 WLM983095:WLM983103 WVI983095:WVI983103 D62:D67 IY59:IY67 SU59:SU67 ACQ59:ACQ67 AMM59:AMM67 AWI59:AWI67 BGE59:BGE67 BQA59:BQA67 BZW59:BZW67 CJS59:CJS67 CTO59:CTO67 DDK59:DDK67 DNG59:DNG67 DXC59:DXC67 EGY59:EGY67 EQU59:EQU67 FAQ59:FAQ67 FKM59:FKM67 FUI59:FUI67 GEE59:GEE67 GOA59:GOA67 GXW59:GXW67 HHS59:HHS67 HRO59:HRO67 IBK59:IBK67 ILG59:ILG67 IVC59:IVC67 JEY59:JEY67 JOU59:JOU67 JYQ59:JYQ67 KIM59:KIM67 KSI59:KSI67 LCE59:LCE67 LMA59:LMA67 LVW59:LVW67 MFS59:MFS67 MPO59:MPO67 MZK59:MZK67 NJG59:NJG67 NTC59:NTC67 OCY59:OCY67 OMU59:OMU67 OWQ59:OWQ67 PGM59:PGM67 PQI59:PQI67 QAE59:QAE67 QKA59:QKA67 QTW59:QTW67 RDS59:RDS67 RNO59:RNO67 RXK59:RXK67 SHG59:SHG67 SRC59:SRC67 TAY59:TAY67 TKU59:TKU67 TUQ59:TUQ67 UEM59:UEM67 UOI59:UOI67 UYE59:UYE67 VIA59:VIA67 VRW59:VRW67 WBS59:WBS67 WLO59:WLO67 WVK59:WVK67 F65591:F65599 IY65591:IY65599 SU65591:SU65599 ACQ65591:ACQ65599 AMM65591:AMM65599 AWI65591:AWI65599 BGE65591:BGE65599 BQA65591:BQA65599 BZW65591:BZW65599 CJS65591:CJS65599 CTO65591:CTO65599 DDK65591:DDK65599 DNG65591:DNG65599 DXC65591:DXC65599 EGY65591:EGY65599 EQU65591:EQU65599 FAQ65591:FAQ65599 FKM65591:FKM65599 FUI65591:FUI65599 GEE65591:GEE65599 GOA65591:GOA65599 GXW65591:GXW65599 HHS65591:HHS65599 HRO65591:HRO65599 IBK65591:IBK65599 ILG65591:ILG65599 IVC65591:IVC65599 JEY65591:JEY65599 JOU65591:JOU65599 JYQ65591:JYQ65599 KIM65591:KIM65599 KSI65591:KSI65599 LCE65591:LCE65599 LMA65591:LMA65599 LVW65591:LVW65599 MFS65591:MFS65599 MPO65591:MPO65599 MZK65591:MZK65599 NJG65591:NJG65599 NTC65591:NTC65599 OCY65591:OCY65599 OMU65591:OMU65599 OWQ65591:OWQ65599 PGM65591:PGM65599 PQI65591:PQI65599 QAE65591:QAE65599 QKA65591:QKA65599 QTW65591:QTW65599 RDS65591:RDS65599 RNO65591:RNO65599 RXK65591:RXK65599 SHG65591:SHG65599 SRC65591:SRC65599 TAY65591:TAY65599 TKU65591:TKU65599 TUQ65591:TUQ65599 UEM65591:UEM65599 UOI65591:UOI65599 UYE65591:UYE65599 VIA65591:VIA65599 VRW65591:VRW65599 WBS65591:WBS65599 WLO65591:WLO65599 WVK65591:WVK65599 F131127:F131135 IY131127:IY131135 SU131127:SU131135 ACQ131127:ACQ131135 AMM131127:AMM131135 AWI131127:AWI131135 BGE131127:BGE131135 BQA131127:BQA131135 BZW131127:BZW131135 CJS131127:CJS131135 CTO131127:CTO131135 DDK131127:DDK131135 DNG131127:DNG131135 DXC131127:DXC131135 EGY131127:EGY131135 EQU131127:EQU131135 FAQ131127:FAQ131135 FKM131127:FKM131135 FUI131127:FUI131135 GEE131127:GEE131135 GOA131127:GOA131135 GXW131127:GXW131135 HHS131127:HHS131135 HRO131127:HRO131135 IBK131127:IBK131135 ILG131127:ILG131135 IVC131127:IVC131135 JEY131127:JEY131135 JOU131127:JOU131135 JYQ131127:JYQ131135 KIM131127:KIM131135 KSI131127:KSI131135 LCE131127:LCE131135 LMA131127:LMA131135 LVW131127:LVW131135 MFS131127:MFS131135 MPO131127:MPO131135 MZK131127:MZK131135 NJG131127:NJG131135 NTC131127:NTC131135 OCY131127:OCY131135 OMU131127:OMU131135 OWQ131127:OWQ131135 PGM131127:PGM131135 PQI131127:PQI131135 QAE131127:QAE131135 QKA131127:QKA131135 QTW131127:QTW131135 RDS131127:RDS131135 RNO131127:RNO131135 RXK131127:RXK131135 SHG131127:SHG131135 SRC131127:SRC131135 TAY131127:TAY131135 TKU131127:TKU131135 TUQ131127:TUQ131135 UEM131127:UEM131135 UOI131127:UOI131135 UYE131127:UYE131135 VIA131127:VIA131135 VRW131127:VRW131135 WBS131127:WBS131135 WLO131127:WLO131135 WVK131127:WVK131135 F196663:F196671 IY196663:IY196671 SU196663:SU196671 ACQ196663:ACQ196671 AMM196663:AMM196671 AWI196663:AWI196671 BGE196663:BGE196671 BQA196663:BQA196671 BZW196663:BZW196671 CJS196663:CJS196671 CTO196663:CTO196671 DDK196663:DDK196671 DNG196663:DNG196671 DXC196663:DXC196671 EGY196663:EGY196671 EQU196663:EQU196671 FAQ196663:FAQ196671 FKM196663:FKM196671 FUI196663:FUI196671 GEE196663:GEE196671 GOA196663:GOA196671 GXW196663:GXW196671 HHS196663:HHS196671 HRO196663:HRO196671 IBK196663:IBK196671 ILG196663:ILG196671 IVC196663:IVC196671 JEY196663:JEY196671 JOU196663:JOU196671 JYQ196663:JYQ196671 KIM196663:KIM196671 KSI196663:KSI196671 LCE196663:LCE196671 LMA196663:LMA196671 LVW196663:LVW196671 MFS196663:MFS196671 MPO196663:MPO196671 MZK196663:MZK196671 NJG196663:NJG196671 NTC196663:NTC196671 OCY196663:OCY196671 OMU196663:OMU196671 OWQ196663:OWQ196671 PGM196663:PGM196671 PQI196663:PQI196671 QAE196663:QAE196671 QKA196663:QKA196671 QTW196663:QTW196671 RDS196663:RDS196671 RNO196663:RNO196671 RXK196663:RXK196671 SHG196663:SHG196671 SRC196663:SRC196671 TAY196663:TAY196671 TKU196663:TKU196671 TUQ196663:TUQ196671 UEM196663:UEM196671 UOI196663:UOI196671 UYE196663:UYE196671 VIA196663:VIA196671 VRW196663:VRW196671 WBS196663:WBS196671 WLO196663:WLO196671 WVK196663:WVK196671 F262199:F262207 IY262199:IY262207 SU262199:SU262207 ACQ262199:ACQ262207 AMM262199:AMM262207 AWI262199:AWI262207 BGE262199:BGE262207 BQA262199:BQA262207 BZW262199:BZW262207 CJS262199:CJS262207 CTO262199:CTO262207 DDK262199:DDK262207 DNG262199:DNG262207 DXC262199:DXC262207 EGY262199:EGY262207 EQU262199:EQU262207 FAQ262199:FAQ262207 FKM262199:FKM262207 FUI262199:FUI262207 GEE262199:GEE262207 GOA262199:GOA262207 GXW262199:GXW262207 HHS262199:HHS262207 HRO262199:HRO262207 IBK262199:IBK262207 ILG262199:ILG262207 IVC262199:IVC262207 JEY262199:JEY262207 JOU262199:JOU262207 JYQ262199:JYQ262207 KIM262199:KIM262207 KSI262199:KSI262207 LCE262199:LCE262207 LMA262199:LMA262207 LVW262199:LVW262207 MFS262199:MFS262207 MPO262199:MPO262207 MZK262199:MZK262207 NJG262199:NJG262207 NTC262199:NTC262207 OCY262199:OCY262207 OMU262199:OMU262207 OWQ262199:OWQ262207 PGM262199:PGM262207 PQI262199:PQI262207 QAE262199:QAE262207 QKA262199:QKA262207 QTW262199:QTW262207 RDS262199:RDS262207 RNO262199:RNO262207 RXK262199:RXK262207 SHG262199:SHG262207 SRC262199:SRC262207 TAY262199:TAY262207 TKU262199:TKU262207 TUQ262199:TUQ262207 UEM262199:UEM262207 UOI262199:UOI262207 UYE262199:UYE262207 VIA262199:VIA262207 VRW262199:VRW262207 WBS262199:WBS262207 WLO262199:WLO262207 WVK262199:WVK262207 F327735:F327743 IY327735:IY327743 SU327735:SU327743 ACQ327735:ACQ327743 AMM327735:AMM327743 AWI327735:AWI327743 BGE327735:BGE327743 BQA327735:BQA327743 BZW327735:BZW327743 CJS327735:CJS327743 CTO327735:CTO327743 DDK327735:DDK327743 DNG327735:DNG327743 DXC327735:DXC327743 EGY327735:EGY327743 EQU327735:EQU327743 FAQ327735:FAQ327743 FKM327735:FKM327743 FUI327735:FUI327743 GEE327735:GEE327743 GOA327735:GOA327743 GXW327735:GXW327743 HHS327735:HHS327743 HRO327735:HRO327743 IBK327735:IBK327743 ILG327735:ILG327743 IVC327735:IVC327743 JEY327735:JEY327743 JOU327735:JOU327743 JYQ327735:JYQ327743 KIM327735:KIM327743 KSI327735:KSI327743 LCE327735:LCE327743 LMA327735:LMA327743 LVW327735:LVW327743 MFS327735:MFS327743 MPO327735:MPO327743 MZK327735:MZK327743 NJG327735:NJG327743 NTC327735:NTC327743 OCY327735:OCY327743 OMU327735:OMU327743 OWQ327735:OWQ327743 PGM327735:PGM327743 PQI327735:PQI327743 QAE327735:QAE327743 QKA327735:QKA327743 QTW327735:QTW327743 RDS327735:RDS327743 RNO327735:RNO327743 RXK327735:RXK327743 SHG327735:SHG327743 SRC327735:SRC327743 TAY327735:TAY327743 TKU327735:TKU327743 TUQ327735:TUQ327743 UEM327735:UEM327743 UOI327735:UOI327743 UYE327735:UYE327743 VIA327735:VIA327743 VRW327735:VRW327743 WBS327735:WBS327743 WLO327735:WLO327743 WVK327735:WVK327743 F393271:F393279 IY393271:IY393279 SU393271:SU393279 ACQ393271:ACQ393279 AMM393271:AMM393279 AWI393271:AWI393279 BGE393271:BGE393279 BQA393271:BQA393279 BZW393271:BZW393279 CJS393271:CJS393279 CTO393271:CTO393279 DDK393271:DDK393279 DNG393271:DNG393279 DXC393271:DXC393279 EGY393271:EGY393279 EQU393271:EQU393279 FAQ393271:FAQ393279 FKM393271:FKM393279 FUI393271:FUI393279 GEE393271:GEE393279 GOA393271:GOA393279 GXW393271:GXW393279 HHS393271:HHS393279 HRO393271:HRO393279 IBK393271:IBK393279 ILG393271:ILG393279 IVC393271:IVC393279 JEY393271:JEY393279 JOU393271:JOU393279 JYQ393271:JYQ393279 KIM393271:KIM393279 KSI393271:KSI393279 LCE393271:LCE393279 LMA393271:LMA393279 LVW393271:LVW393279 MFS393271:MFS393279 MPO393271:MPO393279 MZK393271:MZK393279 NJG393271:NJG393279 NTC393271:NTC393279 OCY393271:OCY393279 OMU393271:OMU393279 OWQ393271:OWQ393279 PGM393271:PGM393279 PQI393271:PQI393279 QAE393271:QAE393279 QKA393271:QKA393279 QTW393271:QTW393279 RDS393271:RDS393279 RNO393271:RNO393279 RXK393271:RXK393279 SHG393271:SHG393279 SRC393271:SRC393279 TAY393271:TAY393279 TKU393271:TKU393279 TUQ393271:TUQ393279 UEM393271:UEM393279 UOI393271:UOI393279 UYE393271:UYE393279 VIA393271:VIA393279 VRW393271:VRW393279 WBS393271:WBS393279 WLO393271:WLO393279 WVK393271:WVK393279 F458807:F458815 IY458807:IY458815 SU458807:SU458815 ACQ458807:ACQ458815 AMM458807:AMM458815 AWI458807:AWI458815 BGE458807:BGE458815 BQA458807:BQA458815 BZW458807:BZW458815 CJS458807:CJS458815 CTO458807:CTO458815 DDK458807:DDK458815 DNG458807:DNG458815 DXC458807:DXC458815 EGY458807:EGY458815 EQU458807:EQU458815 FAQ458807:FAQ458815 FKM458807:FKM458815 FUI458807:FUI458815 GEE458807:GEE458815 GOA458807:GOA458815 GXW458807:GXW458815 HHS458807:HHS458815 HRO458807:HRO458815 IBK458807:IBK458815 ILG458807:ILG458815 IVC458807:IVC458815 JEY458807:JEY458815 JOU458807:JOU458815 JYQ458807:JYQ458815 KIM458807:KIM458815 KSI458807:KSI458815 LCE458807:LCE458815 LMA458807:LMA458815 LVW458807:LVW458815 MFS458807:MFS458815 MPO458807:MPO458815 MZK458807:MZK458815 NJG458807:NJG458815 NTC458807:NTC458815 OCY458807:OCY458815 OMU458807:OMU458815 OWQ458807:OWQ458815 PGM458807:PGM458815 PQI458807:PQI458815 QAE458807:QAE458815 QKA458807:QKA458815 QTW458807:QTW458815 RDS458807:RDS458815 RNO458807:RNO458815 RXK458807:RXK458815 SHG458807:SHG458815 SRC458807:SRC458815 TAY458807:TAY458815 TKU458807:TKU458815 TUQ458807:TUQ458815 UEM458807:UEM458815 UOI458807:UOI458815 UYE458807:UYE458815 VIA458807:VIA458815 VRW458807:VRW458815 WBS458807:WBS458815 WLO458807:WLO458815 WVK458807:WVK458815 F524343:F524351 IY524343:IY524351 SU524343:SU524351 ACQ524343:ACQ524351 AMM524343:AMM524351 AWI524343:AWI524351 BGE524343:BGE524351 BQA524343:BQA524351 BZW524343:BZW524351 CJS524343:CJS524351 CTO524343:CTO524351 DDK524343:DDK524351 DNG524343:DNG524351 DXC524343:DXC524351 EGY524343:EGY524351 EQU524343:EQU524351 FAQ524343:FAQ524351 FKM524343:FKM524351 FUI524343:FUI524351 GEE524343:GEE524351 GOA524343:GOA524351 GXW524343:GXW524351 HHS524343:HHS524351 HRO524343:HRO524351 IBK524343:IBK524351 ILG524343:ILG524351 IVC524343:IVC524351 JEY524343:JEY524351 JOU524343:JOU524351 JYQ524343:JYQ524351 KIM524343:KIM524351 KSI524343:KSI524351 LCE524343:LCE524351 LMA524343:LMA524351 LVW524343:LVW524351 MFS524343:MFS524351 MPO524343:MPO524351 MZK524343:MZK524351 NJG524343:NJG524351 NTC524343:NTC524351 OCY524343:OCY524351 OMU524343:OMU524351 OWQ524343:OWQ524351 PGM524343:PGM524351 PQI524343:PQI524351 QAE524343:QAE524351 QKA524343:QKA524351 QTW524343:QTW524351 RDS524343:RDS524351 RNO524343:RNO524351 RXK524343:RXK524351 SHG524343:SHG524351 SRC524343:SRC524351 TAY524343:TAY524351 TKU524343:TKU524351 TUQ524343:TUQ524351 UEM524343:UEM524351 UOI524343:UOI524351 UYE524343:UYE524351 VIA524343:VIA524351 VRW524343:VRW524351 WBS524343:WBS524351 WLO524343:WLO524351 WVK524343:WVK524351 F589879:F589887 IY589879:IY589887 SU589879:SU589887 ACQ589879:ACQ589887 AMM589879:AMM589887 AWI589879:AWI589887 BGE589879:BGE589887 BQA589879:BQA589887 BZW589879:BZW589887 CJS589879:CJS589887 CTO589879:CTO589887 DDK589879:DDK589887 DNG589879:DNG589887 DXC589879:DXC589887 EGY589879:EGY589887 EQU589879:EQU589887 FAQ589879:FAQ589887 FKM589879:FKM589887 FUI589879:FUI589887 GEE589879:GEE589887 GOA589879:GOA589887 GXW589879:GXW589887 HHS589879:HHS589887 HRO589879:HRO589887 IBK589879:IBK589887 ILG589879:ILG589887 IVC589879:IVC589887 JEY589879:JEY589887 JOU589879:JOU589887 JYQ589879:JYQ589887 KIM589879:KIM589887 KSI589879:KSI589887 LCE589879:LCE589887 LMA589879:LMA589887 LVW589879:LVW589887 MFS589879:MFS589887 MPO589879:MPO589887 MZK589879:MZK589887 NJG589879:NJG589887 NTC589879:NTC589887 OCY589879:OCY589887 OMU589879:OMU589887 OWQ589879:OWQ589887 PGM589879:PGM589887 PQI589879:PQI589887 QAE589879:QAE589887 QKA589879:QKA589887 QTW589879:QTW589887 RDS589879:RDS589887 RNO589879:RNO589887 RXK589879:RXK589887 SHG589879:SHG589887 SRC589879:SRC589887 TAY589879:TAY589887 TKU589879:TKU589887 TUQ589879:TUQ589887 UEM589879:UEM589887 UOI589879:UOI589887 UYE589879:UYE589887 VIA589879:VIA589887 VRW589879:VRW589887 WBS589879:WBS589887 WLO589879:WLO589887 WVK589879:WVK589887 F655415:F655423 IY655415:IY655423 SU655415:SU655423 ACQ655415:ACQ655423 AMM655415:AMM655423 AWI655415:AWI655423 BGE655415:BGE655423 BQA655415:BQA655423 BZW655415:BZW655423 CJS655415:CJS655423 CTO655415:CTO655423 DDK655415:DDK655423 DNG655415:DNG655423 DXC655415:DXC655423 EGY655415:EGY655423 EQU655415:EQU655423 FAQ655415:FAQ655423 FKM655415:FKM655423 FUI655415:FUI655423 GEE655415:GEE655423 GOA655415:GOA655423 GXW655415:GXW655423 HHS655415:HHS655423 HRO655415:HRO655423 IBK655415:IBK655423 ILG655415:ILG655423 IVC655415:IVC655423 JEY655415:JEY655423 JOU655415:JOU655423 JYQ655415:JYQ655423 KIM655415:KIM655423 KSI655415:KSI655423 LCE655415:LCE655423 LMA655415:LMA655423 LVW655415:LVW655423 MFS655415:MFS655423 MPO655415:MPO655423 MZK655415:MZK655423 NJG655415:NJG655423 NTC655415:NTC655423 OCY655415:OCY655423 OMU655415:OMU655423 OWQ655415:OWQ655423 PGM655415:PGM655423 PQI655415:PQI655423 QAE655415:QAE655423 QKA655415:QKA655423 QTW655415:QTW655423 RDS655415:RDS655423 RNO655415:RNO655423 RXK655415:RXK655423 SHG655415:SHG655423 SRC655415:SRC655423 TAY655415:TAY655423 TKU655415:TKU655423 TUQ655415:TUQ655423 UEM655415:UEM655423 UOI655415:UOI655423 UYE655415:UYE655423 VIA655415:VIA655423 VRW655415:VRW655423 WBS655415:WBS655423 WLO655415:WLO655423 WVK655415:WVK655423 F720951:F720959 IY720951:IY720959 SU720951:SU720959 ACQ720951:ACQ720959 AMM720951:AMM720959 AWI720951:AWI720959 BGE720951:BGE720959 BQA720951:BQA720959 BZW720951:BZW720959 CJS720951:CJS720959 CTO720951:CTO720959 DDK720951:DDK720959 DNG720951:DNG720959 DXC720951:DXC720959 EGY720951:EGY720959 EQU720951:EQU720959 FAQ720951:FAQ720959 FKM720951:FKM720959 FUI720951:FUI720959 GEE720951:GEE720959 GOA720951:GOA720959 GXW720951:GXW720959 HHS720951:HHS720959 HRO720951:HRO720959 IBK720951:IBK720959 ILG720951:ILG720959 IVC720951:IVC720959 JEY720951:JEY720959 JOU720951:JOU720959 JYQ720951:JYQ720959 KIM720951:KIM720959 KSI720951:KSI720959 LCE720951:LCE720959 LMA720951:LMA720959 LVW720951:LVW720959 MFS720951:MFS720959 MPO720951:MPO720959 MZK720951:MZK720959 NJG720951:NJG720959 NTC720951:NTC720959 OCY720951:OCY720959 OMU720951:OMU720959 OWQ720951:OWQ720959 PGM720951:PGM720959 PQI720951:PQI720959 QAE720951:QAE720959 QKA720951:QKA720959 QTW720951:QTW720959 RDS720951:RDS720959 RNO720951:RNO720959 RXK720951:RXK720959 SHG720951:SHG720959 SRC720951:SRC720959 TAY720951:TAY720959 TKU720951:TKU720959 TUQ720951:TUQ720959 UEM720951:UEM720959 UOI720951:UOI720959 UYE720951:UYE720959 VIA720951:VIA720959 VRW720951:VRW720959 WBS720951:WBS720959 WLO720951:WLO720959 WVK720951:WVK720959 F786487:F786495 IY786487:IY786495 SU786487:SU786495 ACQ786487:ACQ786495 AMM786487:AMM786495 AWI786487:AWI786495 BGE786487:BGE786495 BQA786487:BQA786495 BZW786487:BZW786495 CJS786487:CJS786495 CTO786487:CTO786495 DDK786487:DDK786495 DNG786487:DNG786495 DXC786487:DXC786495 EGY786487:EGY786495 EQU786487:EQU786495 FAQ786487:FAQ786495 FKM786487:FKM786495 FUI786487:FUI786495 GEE786487:GEE786495 GOA786487:GOA786495 GXW786487:GXW786495 HHS786487:HHS786495 HRO786487:HRO786495 IBK786487:IBK786495 ILG786487:ILG786495 IVC786487:IVC786495 JEY786487:JEY786495 JOU786487:JOU786495 JYQ786487:JYQ786495 KIM786487:KIM786495 KSI786487:KSI786495 LCE786487:LCE786495 LMA786487:LMA786495 LVW786487:LVW786495 MFS786487:MFS786495 MPO786487:MPO786495 MZK786487:MZK786495 NJG786487:NJG786495 NTC786487:NTC786495 OCY786487:OCY786495 OMU786487:OMU786495 OWQ786487:OWQ786495 PGM786487:PGM786495 PQI786487:PQI786495 QAE786487:QAE786495 QKA786487:QKA786495 QTW786487:QTW786495 RDS786487:RDS786495 RNO786487:RNO786495 RXK786487:RXK786495 SHG786487:SHG786495 SRC786487:SRC786495 TAY786487:TAY786495 TKU786487:TKU786495 TUQ786487:TUQ786495 UEM786487:UEM786495 UOI786487:UOI786495 UYE786487:UYE786495 VIA786487:VIA786495 VRW786487:VRW786495 WBS786487:WBS786495 WLO786487:WLO786495 WVK786487:WVK786495 F852023:F852031 IY852023:IY852031 SU852023:SU852031 ACQ852023:ACQ852031 AMM852023:AMM852031 AWI852023:AWI852031 BGE852023:BGE852031 BQA852023:BQA852031 BZW852023:BZW852031 CJS852023:CJS852031 CTO852023:CTO852031 DDK852023:DDK852031 DNG852023:DNG852031 DXC852023:DXC852031 EGY852023:EGY852031 EQU852023:EQU852031 FAQ852023:FAQ852031 FKM852023:FKM852031 FUI852023:FUI852031 GEE852023:GEE852031 GOA852023:GOA852031 GXW852023:GXW852031 HHS852023:HHS852031 HRO852023:HRO852031 IBK852023:IBK852031 ILG852023:ILG852031 IVC852023:IVC852031 JEY852023:JEY852031 JOU852023:JOU852031 JYQ852023:JYQ852031 KIM852023:KIM852031 KSI852023:KSI852031 LCE852023:LCE852031 LMA852023:LMA852031 LVW852023:LVW852031 MFS852023:MFS852031 MPO852023:MPO852031 MZK852023:MZK852031 NJG852023:NJG852031 NTC852023:NTC852031 OCY852023:OCY852031 OMU852023:OMU852031 OWQ852023:OWQ852031 PGM852023:PGM852031 PQI852023:PQI852031 QAE852023:QAE852031 QKA852023:QKA852031 QTW852023:QTW852031 RDS852023:RDS852031 RNO852023:RNO852031 RXK852023:RXK852031 SHG852023:SHG852031 SRC852023:SRC852031 TAY852023:TAY852031 TKU852023:TKU852031 TUQ852023:TUQ852031 UEM852023:UEM852031 UOI852023:UOI852031 UYE852023:UYE852031 VIA852023:VIA852031 VRW852023:VRW852031 WBS852023:WBS852031 WLO852023:WLO852031 WVK852023:WVK852031 F917559:F917567 IY917559:IY917567 SU917559:SU917567 ACQ917559:ACQ917567 AMM917559:AMM917567 AWI917559:AWI917567 BGE917559:BGE917567 BQA917559:BQA917567 BZW917559:BZW917567 CJS917559:CJS917567 CTO917559:CTO917567 DDK917559:DDK917567 DNG917559:DNG917567 DXC917559:DXC917567 EGY917559:EGY917567 EQU917559:EQU917567 FAQ917559:FAQ917567 FKM917559:FKM917567 FUI917559:FUI917567 GEE917559:GEE917567 GOA917559:GOA917567 GXW917559:GXW917567 HHS917559:HHS917567 HRO917559:HRO917567 IBK917559:IBK917567 ILG917559:ILG917567 IVC917559:IVC917567 JEY917559:JEY917567 JOU917559:JOU917567 JYQ917559:JYQ917567 KIM917559:KIM917567 KSI917559:KSI917567 LCE917559:LCE917567 LMA917559:LMA917567 LVW917559:LVW917567 MFS917559:MFS917567 MPO917559:MPO917567 MZK917559:MZK917567 NJG917559:NJG917567 NTC917559:NTC917567 OCY917559:OCY917567 OMU917559:OMU917567 OWQ917559:OWQ917567 PGM917559:PGM917567 PQI917559:PQI917567 QAE917559:QAE917567 QKA917559:QKA917567 QTW917559:QTW917567 RDS917559:RDS917567 RNO917559:RNO917567 RXK917559:RXK917567 SHG917559:SHG917567 SRC917559:SRC917567 TAY917559:TAY917567 TKU917559:TKU917567 TUQ917559:TUQ917567 UEM917559:UEM917567 UOI917559:UOI917567 UYE917559:UYE917567 VIA917559:VIA917567 VRW917559:VRW917567 WBS917559:WBS917567 WLO917559:WLO917567 WVK917559:WVK917567 F983095:F983103 IY983095:IY983103 SU983095:SU983103 ACQ983095:ACQ983103 AMM983095:AMM983103 AWI983095:AWI983103 BGE983095:BGE983103 BQA983095:BQA983103 BZW983095:BZW983103 CJS983095:CJS983103 CTO983095:CTO983103 DDK983095:DDK983103 DNG983095:DNG983103 DXC983095:DXC983103 EGY983095:EGY983103 EQU983095:EQU983103 FAQ983095:FAQ983103 FKM983095:FKM983103 FUI983095:FUI983103 GEE983095:GEE983103 GOA983095:GOA983103 GXW983095:GXW983103 HHS983095:HHS983103 HRO983095:HRO983103 IBK983095:IBK983103 ILG983095:ILG983103 IVC983095:IVC983103 JEY983095:JEY983103 JOU983095:JOU983103 JYQ983095:JYQ983103 KIM983095:KIM983103 KSI983095:KSI983103 LCE983095:LCE983103 LMA983095:LMA983103 LVW983095:LVW983103 MFS983095:MFS983103 MPO983095:MPO983103 MZK983095:MZK983103 NJG983095:NJG983103 NTC983095:NTC983103 OCY983095:OCY983103 OMU983095:OMU983103 OWQ983095:OWQ983103 PGM983095:PGM983103 PQI983095:PQI983103 QAE983095:QAE983103 QKA983095:QKA983103 QTW983095:QTW983103 RDS983095:RDS983103 RNO983095:RNO983103 RXK983095:RXK983103 SHG983095:SHG983103 SRC983095:SRC983103 TAY983095:TAY983103 TKU983095:TKU983103 TUQ983095:TUQ983103 UEM983095:UEM983103 UOI983095:UOI983103 UYE983095:UYE983103 VIA983095:VIA983103 VRW983095:VRW983103 WBS983095:WBS983103 WLO983095:WLO983103 WVK983095:WVK983103 F59:F60 I65542:I65543 I131078:I131079 I196614:I196615 I262150:I262151 I327686:I327687 I393222:I393223 I458758:I458759 I524294:I524295 I589830:I589831 I655366:I655367 I720902:I720903 I786438:I786439 I851974:I851975 I917510:I917511 I983046:I983047 I13 I65545 I131081 I196617 I262153 I327689 I393225 I458761 I524297 I589833 I655369 I720905 I786441 I851977 I917513 I983049 F16:F31 I65548:I65576 I131084:I131112 I196620:I196648 I262156:I262184 I327692:I327720 I393228:I393256 I458764:I458792 I524300:I524328 I589836:I589864 I655372:I655400 I720908:I720936 I786444:I786472 I851980:I852008 I917516:I917544 I983052:I983080 F50:F53 I65582:I65588 I131118:I131124 I196654:I196660 I262190:I262196 I327726:I327732 I393262:I393268 I458798:I458804 I524334:I524340 I589870:I589876 I655406:I655412 I720942:I720948 I786478:I786484 I852014:I852020 I917550:I917556 I983086:I983092 I59:I67 I65591:I65599 I131127:I131135 I196663:I196671 I262199:I262207 I327735:I327743 I393271:I393279 I458807:I458815 I524343:I524351 I589879:I589887 I655415:I655423 I720951:I720959 I786487:I786495 I852023:I852031 I917559:I917567 I10:I11 I8 D8 D50:D51 F33:F44 I50:I53 D16:E44 F10:F11 I16:I31 D59:D60 F55:F56 F62:F67 F83 F85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7C1F3-6956-492F-AB08-2A4C4B301962}">
  <sheetPr codeName="Sheet6"/>
  <dimension ref="A1:AV256"/>
  <sheetViews>
    <sheetView topLeftCell="A3" workbookViewId="0">
      <selection activeCell="A7" sqref="A7"/>
    </sheetView>
  </sheetViews>
  <sheetFormatPr defaultRowHeight="15.75"/>
  <cols>
    <col min="1" max="1" width="93.5" customWidth="1"/>
    <col min="2" max="48" width="9" style="97"/>
  </cols>
  <sheetData>
    <row r="1" spans="1:8">
      <c r="A1" s="102" t="str">
        <f>'Lean Canvas'!F28</f>
        <v>Key Metrics</v>
      </c>
    </row>
    <row r="2" spans="1:8">
      <c r="A2" s="103" t="s">
        <v>490</v>
      </c>
      <c r="E2" s="518">
        <f>'Lean Canvas'!F30</f>
        <v>0</v>
      </c>
      <c r="F2" s="518"/>
      <c r="G2" s="518"/>
      <c r="H2" s="518"/>
    </row>
    <row r="3" spans="1:8" ht="111" customHeight="1">
      <c r="A3" s="99"/>
      <c r="E3" s="518"/>
      <c r="F3" s="518"/>
      <c r="G3" s="518"/>
      <c r="H3" s="518"/>
    </row>
    <row r="4" spans="1:8" s="97" customFormat="1">
      <c r="A4" s="103" t="s">
        <v>491</v>
      </c>
      <c r="E4" s="518"/>
      <c r="F4" s="518"/>
      <c r="G4" s="518"/>
      <c r="H4" s="518"/>
    </row>
    <row r="5" spans="1:8" s="97" customFormat="1" ht="111" customHeight="1">
      <c r="A5" s="99"/>
      <c r="F5" s="606" t="s">
        <v>25</v>
      </c>
      <c r="G5" s="607"/>
    </row>
    <row r="6" spans="1:8" s="97" customFormat="1" ht="31.5">
      <c r="A6" s="456" t="s">
        <v>492</v>
      </c>
    </row>
    <row r="7" spans="1:8" s="97" customFormat="1" ht="115.15" customHeight="1">
      <c r="A7" s="99"/>
    </row>
    <row r="8" spans="1:8" s="97" customFormat="1"/>
    <row r="9" spans="1:8" s="97" customFormat="1"/>
    <row r="10" spans="1:8" s="97" customFormat="1"/>
    <row r="11" spans="1:8" s="97" customFormat="1"/>
    <row r="12" spans="1:8" s="97" customFormat="1"/>
    <row r="13" spans="1:8" s="97" customFormat="1"/>
    <row r="14" spans="1:8" s="97" customFormat="1"/>
    <row r="15" spans="1:8" s="97" customFormat="1"/>
    <row r="16" spans="1:8" s="97" customFormat="1"/>
    <row r="17" s="97" customFormat="1"/>
    <row r="18" s="97" customFormat="1"/>
    <row r="19" s="97" customFormat="1"/>
    <row r="20" s="97" customFormat="1"/>
    <row r="21" s="97" customFormat="1"/>
    <row r="22" s="97" customFormat="1"/>
    <row r="23" s="97" customFormat="1"/>
    <row r="24" s="97" customFormat="1"/>
    <row r="25" s="97" customFormat="1"/>
    <row r="26" s="97" customFormat="1"/>
    <row r="27" s="97" customFormat="1"/>
    <row r="28" s="97" customFormat="1"/>
    <row r="29" s="97" customFormat="1"/>
    <row r="30" s="97" customFormat="1"/>
    <row r="31" s="97" customFormat="1"/>
    <row r="32" s="97" customFormat="1"/>
    <row r="33" s="97" customFormat="1"/>
    <row r="34" s="97" customFormat="1"/>
    <row r="35" s="97" customFormat="1"/>
    <row r="36" s="97" customFormat="1"/>
    <row r="37" s="97" customFormat="1"/>
    <row r="38" s="97" customFormat="1"/>
    <row r="39" s="97" customFormat="1"/>
    <row r="40" s="97" customFormat="1"/>
    <row r="41" s="97" customFormat="1"/>
    <row r="42" s="97" customFormat="1"/>
    <row r="43" s="97" customFormat="1"/>
    <row r="44" s="97" customFormat="1"/>
    <row r="45" s="97" customFormat="1"/>
    <row r="46" s="97" customFormat="1"/>
    <row r="47" s="97" customFormat="1"/>
    <row r="48" s="97" customFormat="1"/>
    <row r="49" s="97" customFormat="1"/>
    <row r="50" s="97" customFormat="1"/>
    <row r="51" s="97" customFormat="1"/>
    <row r="52" s="97" customFormat="1"/>
    <row r="53" s="97" customFormat="1"/>
    <row r="54" s="97" customFormat="1"/>
    <row r="55" s="97" customFormat="1"/>
    <row r="56" s="97" customFormat="1"/>
    <row r="57" s="97" customFormat="1"/>
    <row r="58" s="97" customFormat="1"/>
    <row r="59" s="97" customFormat="1"/>
    <row r="60" s="97" customFormat="1"/>
    <row r="61" s="97" customFormat="1"/>
    <row r="62" s="97" customFormat="1"/>
    <row r="63" s="97" customFormat="1"/>
    <row r="64" s="97" customFormat="1"/>
    <row r="65" s="97" customFormat="1"/>
    <row r="66" s="97" customFormat="1"/>
    <row r="67" s="97" customFormat="1"/>
    <row r="68" s="97" customFormat="1"/>
    <row r="69" s="97" customFormat="1"/>
    <row r="70" s="97" customFormat="1"/>
    <row r="71" s="97" customFormat="1"/>
    <row r="72" s="97" customFormat="1"/>
    <row r="73" s="97" customFormat="1"/>
    <row r="74" s="97" customFormat="1"/>
    <row r="75" s="97" customFormat="1"/>
    <row r="76" s="97" customFormat="1"/>
    <row r="77" s="97" customFormat="1"/>
    <row r="78" s="97" customFormat="1"/>
    <row r="79" s="97" customFormat="1"/>
    <row r="80" s="97" customFormat="1"/>
    <row r="81" s="97" customFormat="1"/>
    <row r="82" s="97" customFormat="1"/>
    <row r="83" s="97" customFormat="1"/>
    <row r="84" s="97" customFormat="1"/>
    <row r="85" s="97" customFormat="1"/>
    <row r="86" s="97" customFormat="1"/>
    <row r="87" s="97" customFormat="1"/>
    <row r="88" s="97" customFormat="1"/>
    <row r="89" s="97" customFormat="1"/>
    <row r="90" s="97" customFormat="1"/>
    <row r="91" s="97" customFormat="1"/>
    <row r="92" s="97" customFormat="1"/>
    <row r="93" s="97" customFormat="1"/>
    <row r="94" s="97" customFormat="1"/>
    <row r="95" s="97" customFormat="1"/>
    <row r="96" s="97" customFormat="1"/>
    <row r="97" s="97" customFormat="1"/>
    <row r="98" s="97" customFormat="1"/>
    <row r="99" s="97" customFormat="1"/>
    <row r="100" s="97" customFormat="1"/>
    <row r="101" s="97" customFormat="1"/>
    <row r="102" s="97" customFormat="1"/>
    <row r="103" s="97" customFormat="1"/>
    <row r="104" s="97" customFormat="1"/>
    <row r="105" s="97" customFormat="1"/>
    <row r="106" s="97" customFormat="1"/>
    <row r="107" s="97" customFormat="1"/>
    <row r="108" s="97" customFormat="1"/>
    <row r="109" s="97" customFormat="1"/>
    <row r="110" s="97" customFormat="1"/>
    <row r="111" s="97" customFormat="1"/>
    <row r="112" s="97" customFormat="1"/>
    <row r="113" s="97" customFormat="1"/>
    <row r="114" s="97" customFormat="1"/>
    <row r="115" s="97" customFormat="1"/>
    <row r="116" s="97" customFormat="1"/>
    <row r="117" s="97" customFormat="1"/>
    <row r="118" s="97" customFormat="1"/>
    <row r="119" s="97" customFormat="1"/>
    <row r="120" s="97" customFormat="1"/>
    <row r="121" s="97" customFormat="1"/>
    <row r="122" s="97" customFormat="1"/>
    <row r="123" s="97" customFormat="1"/>
    <row r="124" s="97" customFormat="1"/>
    <row r="125" s="97" customFormat="1"/>
    <row r="126" s="97" customFormat="1"/>
    <row r="127" s="97" customFormat="1"/>
    <row r="128" s="97" customFormat="1"/>
    <row r="129" s="97" customFormat="1"/>
    <row r="130" s="97" customFormat="1"/>
    <row r="131" s="97" customFormat="1"/>
    <row r="132" s="97" customFormat="1"/>
    <row r="133" s="97" customFormat="1"/>
    <row r="134" s="97" customFormat="1"/>
    <row r="135" s="97" customFormat="1"/>
    <row r="136" s="97" customFormat="1"/>
    <row r="137" s="97" customFormat="1"/>
    <row r="138" s="97" customFormat="1"/>
    <row r="139" s="97" customFormat="1"/>
    <row r="140" s="97" customFormat="1"/>
    <row r="141" s="97" customFormat="1"/>
    <row r="142" s="97" customFormat="1"/>
    <row r="143" s="97" customFormat="1"/>
    <row r="144" s="97" customFormat="1"/>
    <row r="145" s="97" customFormat="1"/>
    <row r="146" s="97" customFormat="1"/>
    <row r="147" s="97" customFormat="1"/>
    <row r="148" s="97" customFormat="1"/>
    <row r="149" s="97" customFormat="1"/>
    <row r="150" s="97" customFormat="1"/>
    <row r="151" s="97" customFormat="1"/>
    <row r="152" s="97" customFormat="1"/>
    <row r="153" s="97" customFormat="1"/>
    <row r="154" s="97" customFormat="1"/>
    <row r="155" s="97" customFormat="1"/>
    <row r="156" s="97" customFormat="1"/>
    <row r="157" s="97" customFormat="1"/>
    <row r="158" s="97" customFormat="1"/>
    <row r="159" s="97" customFormat="1"/>
    <row r="160" s="97" customFormat="1"/>
    <row r="161" s="97" customFormat="1"/>
    <row r="162" s="97" customFormat="1"/>
    <row r="163" s="97" customFormat="1"/>
    <row r="164" s="97" customFormat="1"/>
    <row r="165" s="97" customFormat="1"/>
    <row r="166" s="97" customFormat="1"/>
    <row r="167" s="97" customFormat="1"/>
    <row r="168" s="97" customFormat="1"/>
    <row r="169" s="97" customFormat="1"/>
    <row r="170" s="97" customFormat="1"/>
    <row r="171" s="97" customFormat="1"/>
    <row r="172" s="97" customFormat="1"/>
    <row r="173" s="97" customFormat="1"/>
    <row r="174" s="97" customFormat="1"/>
    <row r="175" s="97" customFormat="1"/>
    <row r="176" s="97" customFormat="1"/>
    <row r="177" s="97" customFormat="1"/>
    <row r="178" s="97" customFormat="1"/>
    <row r="179" s="97" customFormat="1"/>
    <row r="180" s="97" customFormat="1"/>
    <row r="181" s="97" customFormat="1"/>
    <row r="182" s="97" customFormat="1"/>
    <row r="183" s="97" customFormat="1"/>
    <row r="184" s="97" customFormat="1"/>
    <row r="185" s="97" customFormat="1"/>
    <row r="186" s="97" customFormat="1"/>
    <row r="187" s="97" customFormat="1"/>
    <row r="188" s="97" customFormat="1"/>
    <row r="189" s="97" customFormat="1"/>
    <row r="190" s="97" customFormat="1"/>
    <row r="191" s="97" customFormat="1"/>
    <row r="192" s="97" customFormat="1"/>
    <row r="193" s="97" customFormat="1"/>
    <row r="194" s="97" customFormat="1"/>
    <row r="195" s="97" customFormat="1"/>
    <row r="196" s="97" customFormat="1"/>
    <row r="197" s="97" customFormat="1"/>
    <row r="198" s="97" customFormat="1"/>
    <row r="199" s="97" customFormat="1"/>
    <row r="200" s="97" customFormat="1"/>
    <row r="201" s="97" customFormat="1"/>
    <row r="202" s="97" customFormat="1"/>
    <row r="203" s="97" customFormat="1"/>
    <row r="204" s="97" customFormat="1"/>
    <row r="205" s="97" customFormat="1"/>
    <row r="206" s="97" customFormat="1"/>
    <row r="207" s="97" customFormat="1"/>
    <row r="208" s="97" customFormat="1"/>
    <row r="209" s="97" customFormat="1"/>
    <row r="210" s="97" customFormat="1"/>
    <row r="211" s="97" customFormat="1"/>
    <row r="212" s="97" customFormat="1"/>
    <row r="213" s="97" customFormat="1"/>
    <row r="214" s="97" customFormat="1"/>
    <row r="215" s="97" customFormat="1"/>
    <row r="216" s="97" customFormat="1"/>
    <row r="217" s="97" customFormat="1"/>
    <row r="218" s="97" customFormat="1"/>
    <row r="219" s="97" customFormat="1"/>
    <row r="220" s="97" customFormat="1"/>
    <row r="221" s="97" customFormat="1"/>
    <row r="222" s="97" customFormat="1"/>
    <row r="223" s="97" customFormat="1"/>
    <row r="224" s="97" customFormat="1"/>
    <row r="225" s="97" customFormat="1"/>
    <row r="226" s="97" customFormat="1"/>
    <row r="227" s="97" customFormat="1"/>
    <row r="228" s="97" customFormat="1"/>
    <row r="229" s="97" customFormat="1"/>
    <row r="230" s="97" customFormat="1"/>
    <row r="231" s="97" customFormat="1"/>
    <row r="232" s="97" customFormat="1"/>
    <row r="233" s="97" customFormat="1"/>
    <row r="234" s="97" customFormat="1"/>
    <row r="235" s="97" customFormat="1"/>
    <row r="236" s="97" customFormat="1"/>
    <row r="237" s="97" customFormat="1"/>
    <row r="238" s="97" customFormat="1"/>
    <row r="239" s="97" customFormat="1"/>
    <row r="240" s="97" customFormat="1"/>
    <row r="241" s="97" customFormat="1"/>
    <row r="242" s="97" customFormat="1"/>
    <row r="243" s="97" customFormat="1"/>
    <row r="244" s="97" customFormat="1"/>
    <row r="245" s="97" customFormat="1"/>
    <row r="246" s="97" customFormat="1"/>
    <row r="247" s="97" customFormat="1"/>
    <row r="248" s="97" customFormat="1"/>
    <row r="249" s="97" customFormat="1"/>
    <row r="250" s="97" customFormat="1"/>
    <row r="251" s="97" customFormat="1"/>
    <row r="252" s="97" customFormat="1"/>
    <row r="253" s="97" customFormat="1"/>
    <row r="254" s="97" customFormat="1"/>
    <row r="255" s="97" customFormat="1"/>
    <row r="256" s="97" customFormat="1"/>
  </sheetData>
  <mergeCells count="2">
    <mergeCell ref="E2:H4"/>
    <mergeCell ref="F5:G5"/>
  </mergeCells>
  <hyperlinks>
    <hyperlink ref="F5" location="'Lean Canvas'!A1" display="Back Lean Canvas" xr:uid="{1F7ACBA3-B58F-43FF-8E1D-447F57713759}"/>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91210-9EE4-4C29-9972-8F8197F7C0A0}">
  <sheetPr codeName="Sheet14"/>
  <dimension ref="A1:CF293"/>
  <sheetViews>
    <sheetView topLeftCell="A42" zoomScaleNormal="100" workbookViewId="0">
      <selection activeCell="B42" sqref="B42"/>
    </sheetView>
  </sheetViews>
  <sheetFormatPr defaultRowHeight="15.75"/>
  <cols>
    <col min="1" max="1" width="20.625" style="107" customWidth="1"/>
    <col min="2" max="2" width="116.875" customWidth="1"/>
    <col min="3" max="5" width="9" style="97"/>
    <col min="6" max="6" width="12.625" style="97" customWidth="1"/>
    <col min="7" max="84" width="9" style="97"/>
  </cols>
  <sheetData>
    <row r="1" spans="1:2" ht="23.25">
      <c r="A1" s="108"/>
      <c r="B1" s="101" t="s">
        <v>493</v>
      </c>
    </row>
    <row r="2" spans="1:2" ht="23.25">
      <c r="B2" s="101" t="str">
        <f>'Lean Canvas'!J4</f>
        <v xml:space="preserve"> </v>
      </c>
    </row>
    <row r="3" spans="1:2">
      <c r="A3" s="108" t="s">
        <v>3</v>
      </c>
      <c r="B3" s="450">
        <f>'Lean Canvas'!R4</f>
        <v>0</v>
      </c>
    </row>
    <row r="4" spans="1:2">
      <c r="A4" s="108" t="s">
        <v>494</v>
      </c>
      <c r="B4" s="104"/>
    </row>
    <row r="5" spans="1:2">
      <c r="A5" s="108" t="s">
        <v>495</v>
      </c>
      <c r="B5" s="104"/>
    </row>
    <row r="6" spans="1:2">
      <c r="A6" s="108" t="s">
        <v>496</v>
      </c>
      <c r="B6" s="104"/>
    </row>
    <row r="7" spans="1:2" ht="180" customHeight="1">
      <c r="A7" s="109" t="s">
        <v>497</v>
      </c>
      <c r="B7" s="155"/>
    </row>
    <row r="8" spans="1:2" ht="99" customHeight="1">
      <c r="A8" s="109" t="s">
        <v>498</v>
      </c>
      <c r="B8" s="105"/>
    </row>
    <row r="9" spans="1:2" ht="99" customHeight="1">
      <c r="A9" s="418" t="s">
        <v>499</v>
      </c>
      <c r="B9" s="105"/>
    </row>
    <row r="10" spans="1:2" ht="99" customHeight="1">
      <c r="A10" s="417" t="s">
        <v>500</v>
      </c>
      <c r="B10" s="105"/>
    </row>
    <row r="11" spans="1:2">
      <c r="A11" s="718" t="str">
        <f>Problem!A1</f>
        <v>Problem</v>
      </c>
      <c r="B11" s="100" t="str">
        <f>Problem!A2</f>
        <v>What is the crucial problem faced by your consumers? Capture their central frustration.</v>
      </c>
    </row>
    <row r="12" spans="1:2" ht="120" customHeight="1">
      <c r="A12" s="719"/>
      <c r="B12" s="154">
        <f>Problem!A3</f>
        <v>0</v>
      </c>
    </row>
    <row r="13" spans="1:2">
      <c r="A13" s="719"/>
      <c r="B13" s="100" t="str">
        <f>Problem!A4</f>
        <v>What products or services exist as alternatives to what you're offering?</v>
      </c>
    </row>
    <row r="14" spans="1:2" ht="120" customHeight="1">
      <c r="A14" s="719"/>
      <c r="B14" s="154">
        <f>Problem!A5</f>
        <v>0</v>
      </c>
    </row>
    <row r="15" spans="1:2">
      <c r="A15" s="719"/>
      <c r="B15" s="100" t="str">
        <f>Problem!A6</f>
        <v>How does climate change potentially make the existing problem worse or create new challenges for the target market?</v>
      </c>
    </row>
    <row r="16" spans="1:2" ht="120" customHeight="1">
      <c r="A16" s="719"/>
      <c r="B16" s="154">
        <f>Problem!A7</f>
        <v>0</v>
      </c>
    </row>
    <row r="17" spans="1:2" ht="175.5" customHeight="1">
      <c r="A17" s="718" t="str">
        <f>Your_Solution!A1</f>
        <v>Your Solution</v>
      </c>
      <c r="B17" s="202" t="s">
        <v>501</v>
      </c>
    </row>
    <row r="18" spans="1:2" ht="15.75" customHeight="1">
      <c r="A18" s="727"/>
      <c r="B18" s="106" t="str">
        <f>Your_Solution!A2</f>
        <v>Product or Service description:</v>
      </c>
    </row>
    <row r="19" spans="1:2" ht="140.25" customHeight="1">
      <c r="A19" s="727"/>
      <c r="B19" s="106">
        <f>Your_Solution!A3</f>
        <v>0</v>
      </c>
    </row>
    <row r="20" spans="1:2" ht="15.75" customHeight="1">
      <c r="A20" s="727"/>
      <c r="B20" s="106" t="str">
        <f>Your_Solution!A4</f>
        <v>The top three features and capabilities of the product or service:</v>
      </c>
    </row>
    <row r="21" spans="1:2" ht="120" customHeight="1">
      <c r="A21" s="727"/>
      <c r="B21" s="106">
        <f>Your_Solution!A5</f>
        <v>0</v>
      </c>
    </row>
    <row r="22" spans="1:2" ht="15" customHeight="1">
      <c r="A22" s="727"/>
      <c r="B22" s="106" t="str">
        <f>Your_Solution!A6</f>
        <v xml:space="preserve">What numbers best underline opportunity for development? </v>
      </c>
    </row>
    <row r="23" spans="1:2" ht="120" customHeight="1">
      <c r="A23" s="727"/>
      <c r="B23" s="106">
        <f>Your_Solution!A7</f>
        <v>0</v>
      </c>
    </row>
    <row r="24" spans="1:2" ht="15" customHeight="1">
      <c r="A24" s="727"/>
      <c r="B24" s="106" t="str">
        <f>Your_Solution!A8</f>
        <v>Briefly describe how climate resilience is incorporated into your solution (e.g. use of RE sources, use of water saving techniques)</v>
      </c>
    </row>
    <row r="25" spans="1:2" ht="120" customHeight="1">
      <c r="A25" s="728"/>
      <c r="B25" s="106">
        <f>Your_Solution!A9</f>
        <v>0</v>
      </c>
    </row>
    <row r="26" spans="1:2" ht="87" customHeight="1">
      <c r="A26" s="418" t="s">
        <v>502</v>
      </c>
      <c r="B26" s="106">
        <f>'Value Proposition Canvas'!B59</f>
        <v>0</v>
      </c>
    </row>
    <row r="27" spans="1:2">
      <c r="A27" s="718" t="str">
        <f>USP!A1</f>
        <v>Unique Selling Proposition</v>
      </c>
      <c r="B27" s="100" t="str">
        <f>USP!A2</f>
        <v>What need is our product or service filling?</v>
      </c>
    </row>
    <row r="28" spans="1:2" ht="120" customHeight="1">
      <c r="A28" s="719"/>
      <c r="B28" s="154">
        <f>USP!A3</f>
        <v>0</v>
      </c>
    </row>
    <row r="29" spans="1:2">
      <c r="A29" s="719"/>
      <c r="B29" s="100" t="str">
        <f>USP!A4</f>
        <v>What are we doing better than our competitors?</v>
      </c>
    </row>
    <row r="30" spans="1:2" ht="120" customHeight="1">
      <c r="A30" s="719"/>
      <c r="B30" s="154">
        <f>USP!A5</f>
        <v>0</v>
      </c>
    </row>
    <row r="31" spans="1:2">
      <c r="A31" s="719"/>
      <c r="B31" s="112" t="str">
        <f>USP!A6</f>
        <v>What can’t our competitors imitate?</v>
      </c>
    </row>
    <row r="32" spans="1:2" ht="120" customHeight="1">
      <c r="A32" s="719"/>
      <c r="B32" s="154">
        <f>USP!A7</f>
        <v>0</v>
      </c>
    </row>
    <row r="33" spans="1:2" ht="36" customHeight="1">
      <c r="A33" s="719"/>
      <c r="B33" s="154" t="str">
        <f>USP!A8</f>
        <v>Highlight any product features that addresses climate related challenges or needs of the target audience (e.g. EE, adaptablity to the changes in the environment).  Highlight any unique features that gives your business a competitive advantage due to its climate resilience.</v>
      </c>
    </row>
    <row r="34" spans="1:2" ht="120" customHeight="1">
      <c r="A34" s="726"/>
      <c r="B34" s="154">
        <f>USP!A9</f>
        <v>0</v>
      </c>
    </row>
    <row r="35" spans="1:2">
      <c r="A35" s="718" t="str">
        <f>'Customer Segments'!A1</f>
        <v>Customer Segments</v>
      </c>
      <c r="B35" s="106" t="str">
        <f>'Customer Segments'!A2</f>
        <v>For whom are we creating value?</v>
      </c>
    </row>
    <row r="36" spans="1:2" ht="90" customHeight="1">
      <c r="A36" s="724"/>
      <c r="B36" s="106">
        <f>'Customer Segments'!A3</f>
        <v>0</v>
      </c>
    </row>
    <row r="37" spans="1:2">
      <c r="A37" s="724"/>
      <c r="B37" s="106" t="str">
        <f>'Customer Segments'!A4</f>
        <v>Who are our most important customers?</v>
      </c>
    </row>
    <row r="38" spans="1:2" ht="90" customHeight="1">
      <c r="A38" s="724"/>
      <c r="B38" s="106">
        <f>'Customer Segments'!A5</f>
        <v>0</v>
      </c>
    </row>
    <row r="39" spans="1:2">
      <c r="A39" s="724"/>
      <c r="B39" s="106" t="str">
        <f>'Customer Segments'!A6</f>
        <v>What kind of market strategy do we follow (Mass Market, Niche Market, Segmented, Diversified, Multi-sided Platform</v>
      </c>
    </row>
    <row r="40" spans="1:2" ht="90" customHeight="1">
      <c r="A40" s="724"/>
      <c r="B40" s="106">
        <f>'Customer Segments'!A7</f>
        <v>0</v>
      </c>
    </row>
    <row r="41" spans="1:2" ht="36" customHeight="1">
      <c r="A41" s="724"/>
      <c r="B41" s="106" t="str">
        <f>'Customer Segments'!A8</f>
        <v>Can you identify customer segments that you are targeting that may be most vulnerable to the impacts of climate change? (e.g.customer segments/communities that may be located in areas prone to flooding)</v>
      </c>
    </row>
    <row r="42" spans="1:2" ht="90" customHeight="1">
      <c r="A42" s="725"/>
      <c r="B42" s="106">
        <f>'Customer Segments'!A9</f>
        <v>0</v>
      </c>
    </row>
    <row r="43" spans="1:2">
      <c r="A43" s="718" t="str">
        <f>Channels!A1</f>
        <v>Channels</v>
      </c>
      <c r="B43" s="100" t="str">
        <f>Channels!A2</f>
        <v>Through which Channels do our Customer Segments want to be reached? How are we reaching them now?</v>
      </c>
    </row>
    <row r="44" spans="1:2" ht="90.75" customHeight="1">
      <c r="A44" s="724"/>
      <c r="B44" s="154">
        <f>Channels!A3</f>
        <v>0</v>
      </c>
    </row>
    <row r="45" spans="1:2">
      <c r="A45" s="724"/>
      <c r="B45" s="100" t="str">
        <f>Channels!A4</f>
        <v>Which ones work best? Which ones are most cost-efficient?</v>
      </c>
    </row>
    <row r="46" spans="1:2" ht="90" customHeight="1">
      <c r="A46" s="724"/>
      <c r="B46" s="154">
        <f>Channels!A5</f>
        <v>0</v>
      </c>
    </row>
    <row r="47" spans="1:2" ht="32.25" customHeight="1">
      <c r="A47" s="724"/>
      <c r="B47" s="103" t="str">
        <f>Channels!A6</f>
        <v>Which channels reflect your consciousness of the environment in which you operate? (e.g. use of EV or Hybrid vehicles, use of eco-friendly items such as reusable bags)</v>
      </c>
    </row>
    <row r="48" spans="1:2" ht="90" customHeight="1">
      <c r="A48" s="725"/>
      <c r="B48" s="154">
        <f>Channels!A7</f>
        <v>0</v>
      </c>
    </row>
    <row r="49" spans="1:2">
      <c r="A49" s="720" t="str">
        <f>Key_Metrics!A1</f>
        <v>Key Metrics</v>
      </c>
      <c r="B49" s="100" t="str">
        <f>Key_Metrics!A2</f>
        <v>How will you track consumer engagement, excitement, and usage of your product?</v>
      </c>
    </row>
    <row r="50" spans="1:2" ht="90" customHeight="1">
      <c r="A50" s="721"/>
      <c r="B50" s="154">
        <f>Key_Metrics!A3</f>
        <v>0</v>
      </c>
    </row>
    <row r="51" spans="1:2">
      <c r="A51" s="717"/>
      <c r="B51" s="100" t="str">
        <f>Key_Metrics!A4</f>
        <v>What activities drive your product usage?</v>
      </c>
    </row>
    <row r="52" spans="1:2" ht="90" customHeight="1">
      <c r="A52" s="717"/>
      <c r="B52" s="154">
        <f>Key_Metrics!A5</f>
        <v>0</v>
      </c>
    </row>
    <row r="53" spans="1:2" ht="32.25" customHeight="1">
      <c r="A53" s="717"/>
      <c r="B53" s="103" t="str">
        <f>Key_Metrics!A6</f>
        <v>How will you track metrics that focuses on your climate resilience efforts? (e.g. how much energy is saved due to use of energy saving techniques, customer feedback on environomental efforts)</v>
      </c>
    </row>
    <row r="54" spans="1:2" ht="90" customHeight="1">
      <c r="A54" s="717"/>
      <c r="B54" s="154">
        <f>Key_Metrics!A7</f>
        <v>0</v>
      </c>
    </row>
    <row r="55" spans="1:2">
      <c r="A55" s="718" t="str">
        <f>'Cost Structure'!A1</f>
        <v>Cost Structure</v>
      </c>
      <c r="B55" s="100" t="str">
        <f>'Cost Structure'!A2</f>
        <v>What kind of investments are necessary?</v>
      </c>
    </row>
    <row r="56" spans="1:2" ht="30" customHeight="1">
      <c r="A56" s="719"/>
      <c r="B56" s="382" t="s">
        <v>503</v>
      </c>
    </row>
    <row r="57" spans="1:2">
      <c r="A57" s="719"/>
      <c r="B57" s="100" t="str">
        <f>'Cost Structure'!A4</f>
        <v>What are the most important costs inherent in our business model?</v>
      </c>
    </row>
    <row r="58" spans="1:2" ht="120" customHeight="1">
      <c r="A58" s="719"/>
      <c r="B58" s="154">
        <f>'Cost Structure'!A5</f>
        <v>0</v>
      </c>
    </row>
    <row r="59" spans="1:2">
      <c r="A59" s="719"/>
      <c r="B59" s="100" t="str">
        <f>'Cost Structure'!A6</f>
        <v>Which Key Resources are most expensive?</v>
      </c>
    </row>
    <row r="60" spans="1:2" ht="120" customHeight="1">
      <c r="A60" s="719"/>
      <c r="B60" s="154">
        <f>'Cost Structure'!A7</f>
        <v>0</v>
      </c>
    </row>
    <row r="61" spans="1:2">
      <c r="A61" s="719"/>
      <c r="B61" s="100" t="str">
        <f>'Cost Structure'!A8</f>
        <v>Which Key Activities are most expensive?</v>
      </c>
    </row>
    <row r="62" spans="1:2" ht="120" customHeight="1">
      <c r="A62" s="719"/>
      <c r="B62" s="154">
        <f>'Cost Structure'!A9</f>
        <v>0</v>
      </c>
    </row>
    <row r="63" spans="1:2" ht="31.5">
      <c r="A63" s="719"/>
      <c r="B63" s="103" t="str">
        <f>'Cost Structure'!A10</f>
        <v>BUSINESS is more Cost Driven (leanest cost structure, low price value proposition, maximum automation, extensive outsourcing) or Value Driven (focused on value creation, premium value proposition)?</v>
      </c>
    </row>
    <row r="64" spans="1:2" ht="120" customHeight="1">
      <c r="A64" s="719"/>
      <c r="B64" s="154">
        <f>'Cost Structure'!A11</f>
        <v>0</v>
      </c>
    </row>
    <row r="65" spans="1:2" ht="31.5">
      <c r="A65" s="719"/>
      <c r="B65" s="103" t="str">
        <f>'Cost Structure'!A12</f>
        <v>Identify costs associated with ensuring your business is climate resilience (e.g. additional insurance coverage due to location in which you operate)</v>
      </c>
    </row>
    <row r="66" spans="1:2" ht="120" customHeight="1">
      <c r="A66" s="726"/>
      <c r="B66" s="154">
        <f>'Cost Structure'!A13</f>
        <v>0</v>
      </c>
    </row>
    <row r="67" spans="1:2">
      <c r="A67" s="722" t="str">
        <f>'Revenue Streams'!A1</f>
        <v>Revenue Streams</v>
      </c>
      <c r="B67" s="100" t="str">
        <f>'Revenue Streams'!A2</f>
        <v>How much does each Revenue Stream contribute to overall revenues?</v>
      </c>
    </row>
    <row r="68" spans="1:2" ht="120" customHeight="1">
      <c r="A68" s="723"/>
      <c r="B68" s="154">
        <f>'Revenue Streams'!A3</f>
        <v>0</v>
      </c>
    </row>
    <row r="69" spans="1:2">
      <c r="A69" s="723"/>
      <c r="B69" s="112" t="str">
        <f>'Revenue Streams'!A4</f>
        <v>Describe how your revenue streams may be impacted by possible climate events? (e.g. can customers access your service in the event of a flood, post hurricane or any other climate related events)</v>
      </c>
    </row>
    <row r="70" spans="1:2" ht="120" customHeight="1">
      <c r="A70" s="723"/>
      <c r="B70" s="154">
        <f>'Revenue Streams'!A5</f>
        <v>0</v>
      </c>
    </row>
    <row r="71" spans="1:2" ht="20.25" customHeight="1">
      <c r="A71" s="723"/>
      <c r="B71" s="382" t="s">
        <v>19</v>
      </c>
    </row>
    <row r="72" spans="1:2">
      <c r="A72" s="108" t="s">
        <v>504</v>
      </c>
      <c r="B72" s="100" t="s">
        <v>505</v>
      </c>
    </row>
    <row r="73" spans="1:2" s="97" customFormat="1"/>
    <row r="74" spans="1:2" s="97" customFormat="1">
      <c r="A74" s="97" t="s">
        <v>3</v>
      </c>
      <c r="B74" s="111"/>
    </row>
    <row r="75" spans="1:2" s="97" customFormat="1"/>
    <row r="76" spans="1:2" s="97" customFormat="1">
      <c r="A76" s="97" t="s">
        <v>506</v>
      </c>
    </row>
    <row r="77" spans="1:2" s="97" customFormat="1">
      <c r="B77" s="156" t="str">
        <f>B2</f>
        <v xml:space="preserve"> </v>
      </c>
    </row>
    <row r="78" spans="1:2" s="97" customFormat="1"/>
    <row r="79" spans="1:2" s="97" customFormat="1" ht="18.75">
      <c r="A79" s="381" t="s">
        <v>25</v>
      </c>
    </row>
    <row r="80" spans="1:2" s="97" customFormat="1"/>
    <row r="81" spans="1:1" s="97" customFormat="1"/>
    <row r="82" spans="1:1" s="97" customFormat="1"/>
    <row r="83" spans="1:1" s="97" customFormat="1"/>
    <row r="84" spans="1:1" s="97" customFormat="1"/>
    <row r="85" spans="1:1" s="97" customFormat="1"/>
    <row r="86" spans="1:1" s="97" customFormat="1"/>
    <row r="87" spans="1:1" s="97" customFormat="1">
      <c r="A87" s="716"/>
    </row>
    <row r="88" spans="1:1" s="97" customFormat="1">
      <c r="A88" s="717"/>
    </row>
    <row r="89" spans="1:1" s="97" customFormat="1"/>
    <row r="90" spans="1:1" s="97" customFormat="1" ht="67.5" customHeight="1"/>
    <row r="91" spans="1:1" s="97" customFormat="1">
      <c r="A91" s="416"/>
    </row>
    <row r="92" spans="1:1" s="97" customFormat="1"/>
    <row r="93" spans="1:1" s="97" customFormat="1"/>
    <row r="94" spans="1:1" s="97" customFormat="1"/>
    <row r="95" spans="1:1" s="97" customFormat="1"/>
    <row r="96" spans="1:1" s="97" customFormat="1"/>
    <row r="97" s="97" customFormat="1"/>
    <row r="98" s="97" customFormat="1"/>
    <row r="99" s="97" customFormat="1"/>
    <row r="100" s="97" customFormat="1"/>
    <row r="101" s="97" customFormat="1"/>
    <row r="102" s="97" customFormat="1"/>
    <row r="103" s="97" customFormat="1"/>
    <row r="104" s="97" customFormat="1"/>
    <row r="105" s="97" customFormat="1"/>
    <row r="106" s="97" customFormat="1"/>
    <row r="107" s="97" customFormat="1"/>
    <row r="108" s="97" customFormat="1"/>
    <row r="109" s="97" customFormat="1"/>
    <row r="110" s="97" customFormat="1"/>
    <row r="111" s="97" customFormat="1"/>
    <row r="112" s="97" customFormat="1"/>
    <row r="113" s="97" customFormat="1"/>
    <row r="114" s="97" customFormat="1"/>
    <row r="115" s="97" customFormat="1"/>
    <row r="116" s="97" customFormat="1"/>
    <row r="117" s="97" customFormat="1"/>
    <row r="118" s="97" customFormat="1"/>
    <row r="119" s="97" customFormat="1"/>
    <row r="120" s="97" customFormat="1"/>
    <row r="121" s="97" customFormat="1"/>
    <row r="122" s="97" customFormat="1"/>
    <row r="123" s="97" customFormat="1"/>
    <row r="124" s="97" customFormat="1"/>
    <row r="125" s="97" customFormat="1"/>
    <row r="126" s="97" customFormat="1"/>
    <row r="127" s="97" customFormat="1"/>
    <row r="128" s="97" customFormat="1"/>
    <row r="129" s="97" customFormat="1"/>
    <row r="130" s="97" customFormat="1"/>
    <row r="131" s="97" customFormat="1"/>
    <row r="132" s="97" customFormat="1"/>
    <row r="133" s="97" customFormat="1"/>
    <row r="134" s="97" customFormat="1"/>
    <row r="135" s="97" customFormat="1"/>
    <row r="136" s="97" customFormat="1"/>
    <row r="137" s="97" customFormat="1"/>
    <row r="138" s="97" customFormat="1"/>
    <row r="139" s="97" customFormat="1"/>
    <row r="140" s="97" customFormat="1"/>
    <row r="141" s="97" customFormat="1"/>
    <row r="142" s="97" customFormat="1"/>
    <row r="143" s="97" customFormat="1"/>
    <row r="144" s="97" customFormat="1"/>
    <row r="145" s="97" customFormat="1"/>
    <row r="146" s="97" customFormat="1"/>
    <row r="147" s="97" customFormat="1"/>
    <row r="148" s="97" customFormat="1"/>
    <row r="149" s="97" customFormat="1"/>
    <row r="150" s="97" customFormat="1"/>
    <row r="151" s="97" customFormat="1"/>
    <row r="152" s="97" customFormat="1"/>
    <row r="153" s="97" customFormat="1"/>
    <row r="154" s="97" customFormat="1"/>
    <row r="155" s="97" customFormat="1"/>
    <row r="156" s="97" customFormat="1"/>
    <row r="157" s="97" customFormat="1"/>
    <row r="158" s="97" customFormat="1"/>
    <row r="159" s="97" customFormat="1"/>
    <row r="160" s="97" customFormat="1"/>
    <row r="161" s="97" customFormat="1"/>
    <row r="162" s="97" customFormat="1"/>
    <row r="163" s="97" customFormat="1"/>
    <row r="164" s="97" customFormat="1"/>
    <row r="165" s="97" customFormat="1"/>
    <row r="166" s="97" customFormat="1"/>
    <row r="167" s="97" customFormat="1"/>
    <row r="168" s="97" customFormat="1"/>
    <row r="169" s="97" customFormat="1"/>
    <row r="170" s="97" customFormat="1"/>
    <row r="171" s="97" customFormat="1"/>
    <row r="172" s="97" customFormat="1"/>
    <row r="173" s="97" customFormat="1"/>
    <row r="174" s="97" customFormat="1"/>
    <row r="175" s="97" customFormat="1"/>
    <row r="176" s="97" customFormat="1"/>
    <row r="177" s="97" customFormat="1"/>
    <row r="178" s="97" customFormat="1"/>
    <row r="179" s="97" customFormat="1"/>
    <row r="180" s="97" customFormat="1"/>
    <row r="181" s="97" customFormat="1"/>
    <row r="182" s="97" customFormat="1"/>
    <row r="183" s="97" customFormat="1"/>
    <row r="184" s="97" customFormat="1"/>
    <row r="185" s="97" customFormat="1"/>
    <row r="186" s="97" customFormat="1"/>
    <row r="187" s="97" customFormat="1"/>
    <row r="188" s="97" customFormat="1"/>
    <row r="189" s="97" customFormat="1"/>
    <row r="190" s="97" customFormat="1"/>
    <row r="191" s="97" customFormat="1"/>
    <row r="192" s="97" customFormat="1"/>
    <row r="193" s="97" customFormat="1"/>
    <row r="194" s="97" customFormat="1"/>
    <row r="195" s="97" customFormat="1"/>
    <row r="196" s="97" customFormat="1"/>
    <row r="197" s="97" customFormat="1"/>
    <row r="198" s="97" customFormat="1"/>
    <row r="199" s="97" customFormat="1"/>
    <row r="200" s="97" customFormat="1"/>
    <row r="201" s="97" customFormat="1"/>
    <row r="202" s="97" customFormat="1"/>
    <row r="203" s="97" customFormat="1"/>
    <row r="204" s="97" customFormat="1"/>
    <row r="205" s="97" customFormat="1"/>
    <row r="206" s="97" customFormat="1"/>
    <row r="207" s="97" customFormat="1"/>
    <row r="208" s="97" customFormat="1"/>
    <row r="209" s="97" customFormat="1"/>
    <row r="210" s="97" customFormat="1"/>
    <row r="211" s="97" customFormat="1"/>
    <row r="212" s="97" customFormat="1"/>
    <row r="213" s="97" customFormat="1"/>
    <row r="214" s="97" customFormat="1"/>
    <row r="215" s="97" customFormat="1"/>
    <row r="216" s="97" customFormat="1"/>
    <row r="217" s="97" customFormat="1"/>
    <row r="218" s="97" customFormat="1"/>
    <row r="219" s="97" customFormat="1"/>
    <row r="220" s="97" customFormat="1"/>
    <row r="221" s="97" customFormat="1"/>
    <row r="222" s="97" customFormat="1"/>
    <row r="223" s="97" customFormat="1"/>
    <row r="224" s="97" customFormat="1"/>
    <row r="225" s="97" customFormat="1"/>
    <row r="226" s="97" customFormat="1"/>
    <row r="227" s="97" customFormat="1"/>
    <row r="228" s="97" customFormat="1"/>
    <row r="229" s="97" customFormat="1"/>
    <row r="230" s="97" customFormat="1"/>
    <row r="231" s="97" customFormat="1"/>
    <row r="232" s="97" customFormat="1"/>
    <row r="233" s="97" customFormat="1"/>
    <row r="234" s="97" customFormat="1"/>
    <row r="235" s="97" customFormat="1"/>
    <row r="236" s="97" customFormat="1"/>
    <row r="237" s="97" customFormat="1"/>
    <row r="238" s="97" customFormat="1"/>
    <row r="239" s="97" customFormat="1"/>
    <row r="240" s="97" customFormat="1"/>
    <row r="241" s="97" customFormat="1"/>
    <row r="242" s="97" customFormat="1"/>
    <row r="243" s="97" customFormat="1"/>
    <row r="244" s="97" customFormat="1"/>
    <row r="245" s="97" customFormat="1"/>
    <row r="246" s="97" customFormat="1"/>
    <row r="247" s="97" customFormat="1"/>
    <row r="248" s="97" customFormat="1"/>
    <row r="249" s="97" customFormat="1"/>
    <row r="250" s="97" customFormat="1"/>
    <row r="251" s="97" customFormat="1"/>
    <row r="252" s="97" customFormat="1"/>
    <row r="253" s="97" customFormat="1"/>
    <row r="254" s="97" customFormat="1"/>
    <row r="255" s="97" customFormat="1"/>
    <row r="256" s="97" customFormat="1"/>
    <row r="257" s="97" customFormat="1"/>
    <row r="258" s="97" customFormat="1"/>
    <row r="259" s="97" customFormat="1"/>
    <row r="260" s="97" customFormat="1"/>
    <row r="261" s="97" customFormat="1"/>
    <row r="262" s="97" customFormat="1"/>
    <row r="263" s="97" customFormat="1"/>
    <row r="264" s="97" customFormat="1"/>
    <row r="265" s="97" customFormat="1"/>
    <row r="266" s="97" customFormat="1"/>
    <row r="267" s="97" customFormat="1"/>
    <row r="268" s="97" customFormat="1"/>
    <row r="269" s="97" customFormat="1"/>
    <row r="270" s="97" customFormat="1"/>
    <row r="271" s="97" customFormat="1"/>
    <row r="272" s="97" customFormat="1"/>
    <row r="273" s="97" customFormat="1"/>
    <row r="274" s="97" customFormat="1"/>
    <row r="275" s="97" customFormat="1"/>
    <row r="276" s="97" customFormat="1"/>
    <row r="277" s="97" customFormat="1"/>
    <row r="278" s="97" customFormat="1"/>
    <row r="279" s="97" customFormat="1"/>
    <row r="280" s="97" customFormat="1"/>
    <row r="281" s="97" customFormat="1"/>
    <row r="282" s="97" customFormat="1"/>
    <row r="283" s="97" customFormat="1"/>
    <row r="284" s="97" customFormat="1"/>
    <row r="285" s="97" customFormat="1"/>
    <row r="286" s="97" customFormat="1"/>
    <row r="287" s="97" customFormat="1"/>
    <row r="288" s="97" customFormat="1"/>
    <row r="289" s="97" customFormat="1"/>
    <row r="290" s="97" customFormat="1"/>
    <row r="291" s="97" customFormat="1"/>
    <row r="292" s="97" customFormat="1"/>
    <row r="293" s="97" customFormat="1"/>
  </sheetData>
  <mergeCells count="9">
    <mergeCell ref="A87:A88"/>
    <mergeCell ref="A11:A16"/>
    <mergeCell ref="A49:A54"/>
    <mergeCell ref="A67:A71"/>
    <mergeCell ref="A35:A42"/>
    <mergeCell ref="A43:A48"/>
    <mergeCell ref="A27:A34"/>
    <mergeCell ref="A55:A66"/>
    <mergeCell ref="A17:A25"/>
  </mergeCells>
  <hyperlinks>
    <hyperlink ref="A79" location="'Lean Canvas'!A1" display="Back Lean Canvas" xr:uid="{4E8C94A5-2DDB-4342-B7D6-79AF96C9612D}"/>
    <hyperlink ref="B56" location="'Startup-Costs'!A1" display="Investments" xr:uid="{7CE5FD10-E658-477F-804F-A4F52C70200C}"/>
    <hyperlink ref="B71" location="'Revenue Streams'!A1" display="Revenue Streams" xr:uid="{460DFF66-FDE9-4149-B308-C684D498A1E6}"/>
  </hyperlinks>
  <pageMargins left="0.7" right="0.7" top="0.75" bottom="0.75" header="0.3" footer="0.3"/>
  <pageSetup scale="58" orientation="portrait" r:id="rId1"/>
  <rowBreaks count="4" manualBreakCount="4">
    <brk id="16" max="1" man="1"/>
    <brk id="26" max="1" man="1"/>
    <brk id="48" max="1" man="1"/>
    <brk id="66" max="1" man="1"/>
  </rowBreaks>
  <colBreaks count="1" manualBreakCount="1">
    <brk id="2" max="63"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E5D0D4B2847946B03770A5AD0E5EFE" ma:contentTypeVersion="18" ma:contentTypeDescription="Create a new document." ma:contentTypeScope="" ma:versionID="2de1f7eada5162b6f28a2158d744e90d">
  <xsd:schema xmlns:xsd="http://www.w3.org/2001/XMLSchema" xmlns:xs="http://www.w3.org/2001/XMLSchema" xmlns:p="http://schemas.microsoft.com/office/2006/metadata/properties" xmlns:ns2="44e8dc4a-0180-4d78-bfd2-63bd10964a68" xmlns:ns3="02330bc4-f398-49ad-b080-3282cc79bc29" targetNamespace="http://schemas.microsoft.com/office/2006/metadata/properties" ma:root="true" ma:fieldsID="96a7a0ccb8b89e2076bb0394bf528b6f" ns2:_="" ns3:_="">
    <xsd:import namespace="44e8dc4a-0180-4d78-bfd2-63bd10964a68"/>
    <xsd:import namespace="02330bc4-f398-49ad-b080-3282cc79bc2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e8dc4a-0180-4d78-bfd2-63bd10964a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b0520ee-6024-4163-b7ac-1dacdfaf9b92"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330bc4-f398-49ad-b080-3282cc79bc2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4743ca7-4544-4b99-9219-683841599d01}" ma:internalName="TaxCatchAll" ma:showField="CatchAllData" ma:web="02330bc4-f398-49ad-b080-3282cc79bc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2330bc4-f398-49ad-b080-3282cc79bc29" xsi:nil="true"/>
    <lcf76f155ced4ddcb4097134ff3c332f xmlns="44e8dc4a-0180-4d78-bfd2-63bd10964a68">
      <Terms xmlns="http://schemas.microsoft.com/office/infopath/2007/PartnerControls"/>
    </lcf76f155ced4ddcb4097134ff3c332f>
    <SharedWithUsers xmlns="02330bc4-f398-49ad-b080-3282cc79bc29">
      <UserInfo>
        <DisplayName>Vela Samuel-Frederick</DisplayName>
        <AccountId>74</AccountId>
        <AccountType/>
      </UserInfo>
      <UserInfo>
        <DisplayName>Timo Bucher</DisplayName>
        <AccountId>13934</AccountId>
        <AccountType/>
      </UserInfo>
    </SharedWithUsers>
  </documentManagement>
</p:properties>
</file>

<file path=customXml/itemProps1.xml><?xml version="1.0" encoding="utf-8"?>
<ds:datastoreItem xmlns:ds="http://schemas.openxmlformats.org/officeDocument/2006/customXml" ds:itemID="{41CB3361-CA6F-4E36-9F7A-CBE2007C2A93}"/>
</file>

<file path=customXml/itemProps2.xml><?xml version="1.0" encoding="utf-8"?>
<ds:datastoreItem xmlns:ds="http://schemas.openxmlformats.org/officeDocument/2006/customXml" ds:itemID="{76D5D437-87F9-41E6-B4E2-5458A59616A1}"/>
</file>

<file path=customXml/itemProps3.xml><?xml version="1.0" encoding="utf-8"?>
<ds:datastoreItem xmlns:ds="http://schemas.openxmlformats.org/officeDocument/2006/customXml" ds:itemID="{D78C4C32-8D8E-4D72-B2A7-87F78F1A548A}"/>
</file>

<file path=customXml/itemProps4.xml><?xml version="1.0" encoding="utf-8"?>
<ds:datastoreItem xmlns:ds="http://schemas.openxmlformats.org/officeDocument/2006/customXml" ds:itemID="{B31C1A29-16EA-4651-BD2B-9A30AD971B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timo.bucher@sparkassenstiftung.de</dc:creator>
  <cp:keywords/>
  <dc:description/>
  <cp:lastModifiedBy/>
  <cp:revision/>
  <dcterms:created xsi:type="dcterms:W3CDTF">2020-02-11T15:19:58Z</dcterms:created>
  <dcterms:modified xsi:type="dcterms:W3CDTF">2024-06-29T00:29:35Z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0x01010077E5D0D4B2847946B03770A5AD0E5EFE</vt:lpwstr>
  </property>
  <property fmtid="{D5CDD505-2E9C-101B-9397-08002B2CF9AE}" pid="3" name="MediaServiceImageTags">
    <vt:lpwstr/>
  </property>
</Properties>
</file>